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<sst xmlns="http://schemas.openxmlformats.org/spreadsheetml/2006/main" count="472" uniqueCount="346">
  <si>
    <t xml:space="preserve">Вариант</t>
  </si>
  <si>
    <t xml:space="preserve">МРОТ</t>
  </si>
  <si>
    <t xml:space="preserve">Операция</t>
  </si>
  <si>
    <t xml:space="preserve">Тариф. Разр.</t>
  </si>
  <si>
    <t xml:space="preserve">Трудоём. А</t>
  </si>
  <si>
    <t xml:space="preserve">Трудоём. Б</t>
  </si>
  <si>
    <t xml:space="preserve">Квн</t>
  </si>
  <si>
    <t xml:space="preserve">Квыб</t>
  </si>
  <si>
    <t xml:space="preserve">Ед. Изм.</t>
  </si>
  <si>
    <t xml:space="preserve">Кол-во</t>
  </si>
  <si>
    <t xml:space="preserve">Процент</t>
  </si>
  <si>
    <t xml:space="preserve">ДЗП</t>
  </si>
  <si>
    <t xml:space="preserve">1)Станочн</t>
  </si>
  <si>
    <t xml:space="preserve">Календарные дни</t>
  </si>
  <si>
    <t xml:space="preserve">Дни</t>
  </si>
  <si>
    <t xml:space="preserve">2)Слесарн</t>
  </si>
  <si>
    <t xml:space="preserve">Выходные и праздничные дни</t>
  </si>
  <si>
    <t xml:space="preserve">Qr</t>
  </si>
  <si>
    <t xml:space="preserve">Пр</t>
  </si>
  <si>
    <t xml:space="preserve">3)Монтажн</t>
  </si>
  <si>
    <t xml:space="preserve">Рабочие дни</t>
  </si>
  <si>
    <t xml:space="preserve">A</t>
  </si>
  <si>
    <t xml:space="preserve">4)Наладоч</t>
  </si>
  <si>
    <t xml:space="preserve">Целодневные невыходы на работу, в том числе:</t>
  </si>
  <si>
    <t xml:space="preserve">B</t>
  </si>
  <si>
    <t xml:space="preserve">5)Контрольн</t>
  </si>
  <si>
    <t xml:space="preserve">Отпуска основные и дополнительные</t>
  </si>
  <si>
    <t xml:space="preserve">Учебные отпуска</t>
  </si>
  <si>
    <t xml:space="preserve">Отпуска по беременности и родам</t>
  </si>
  <si>
    <t xml:space="preserve">Чосн</t>
  </si>
  <si>
    <t xml:space="preserve">Чосн(о)</t>
  </si>
  <si>
    <t xml:space="preserve">Альфа</t>
  </si>
  <si>
    <t xml:space="preserve">Fд</t>
  </si>
  <si>
    <t xml:space="preserve">Fд(о)</t>
  </si>
  <si>
    <t xml:space="preserve">Чк</t>
  </si>
  <si>
    <t xml:space="preserve">Чк(о)</t>
  </si>
  <si>
    <t xml:space="preserve">Выполение государственных обязанностей</t>
  </si>
  <si>
    <t xml:space="preserve">-</t>
  </si>
  <si>
    <t xml:space="preserve">Болезни</t>
  </si>
  <si>
    <t xml:space="preserve">Явочное время</t>
  </si>
  <si>
    <t xml:space="preserve">Средняя продолжительность работы дня</t>
  </si>
  <si>
    <t xml:space="preserve">Часы</t>
  </si>
  <si>
    <t xml:space="preserve">Полезный фонд времени</t>
  </si>
  <si>
    <t xml:space="preserve">Итого:</t>
  </si>
  <si>
    <t xml:space="preserve">Перечень спец./должн. доп рабочих</t>
  </si>
  <si>
    <t xml:space="preserve">На 1-го раб</t>
  </si>
  <si>
    <t xml:space="preserve">Разряд</t>
  </si>
  <si>
    <t xml:space="preserve">Наладчик оборудования</t>
  </si>
  <si>
    <t xml:space="preserve">Кол-во(о)</t>
  </si>
  <si>
    <t xml:space="preserve">Техник по обслуживанию подъёмн-трансп. оборудов.</t>
  </si>
  <si>
    <t xml:space="preserve">Рч рабочих</t>
  </si>
  <si>
    <t xml:space="preserve">Слесари по ремонту инструмента и оборудования</t>
  </si>
  <si>
    <t xml:space="preserve">Рч спец.</t>
  </si>
  <si>
    <t xml:space="preserve">Водитель транспортных средств</t>
  </si>
  <si>
    <t xml:space="preserve">Рч др. служ.</t>
  </si>
  <si>
    <t xml:space="preserve">Разнорабочий, занятый складом и транспортом</t>
  </si>
  <si>
    <t xml:space="preserve">Рч рук.</t>
  </si>
  <si>
    <t xml:space="preserve">Кладовщик инструментального склада</t>
  </si>
  <si>
    <t xml:space="preserve">Кладовщик склада готовой продукции</t>
  </si>
  <si>
    <t xml:space="preserve">Руб/ч</t>
  </si>
  <si>
    <t xml:space="preserve">Чтф</t>
  </si>
  <si>
    <t xml:space="preserve">Тарифный разряд</t>
  </si>
  <si>
    <t xml:space="preserve">Тарифный коэффициент</t>
  </si>
  <si>
    <t xml:space="preserve">Часовая тарифная ставка разряда, руб</t>
  </si>
  <si>
    <t xml:space="preserve">Наименование должности</t>
  </si>
  <si>
    <t xml:space="preserve">Кол-во штатных ед.</t>
  </si>
  <si>
    <t xml:space="preserve">Сред. Тариф разряд</t>
  </si>
  <si>
    <t xml:space="preserve">Часовая тарифная ставка</t>
  </si>
  <si>
    <t xml:space="preserve">Основные рабочие</t>
  </si>
  <si>
    <t xml:space="preserve">Станочник</t>
  </si>
  <si>
    <t xml:space="preserve">Слесарь по изготовлению изделий</t>
  </si>
  <si>
    <t xml:space="preserve">Монтажник</t>
  </si>
  <si>
    <t xml:space="preserve">Наладчик при изготовлении изделий</t>
  </si>
  <si>
    <t xml:space="preserve">Контролер</t>
  </si>
  <si>
    <t xml:space="preserve">Вспомогательные рабочие</t>
  </si>
  <si>
    <t xml:space="preserve">Зарплата основникам</t>
  </si>
  <si>
    <t xml:space="preserve">Трудоёмкость одного</t>
  </si>
  <si>
    <t xml:space="preserve">Трудоёмкость всех</t>
  </si>
  <si>
    <t xml:space="preserve">Прямая ЗП</t>
  </si>
  <si>
    <t xml:space="preserve">Доплаты</t>
  </si>
  <si>
    <t xml:space="preserve">Основная ЗП</t>
  </si>
  <si>
    <t xml:space="preserve">Дополнительная ЗП</t>
  </si>
  <si>
    <t xml:space="preserve">Годовой фонд оплаты труда</t>
  </si>
  <si>
    <t xml:space="preserve">Кр</t>
  </si>
  <si>
    <t xml:space="preserve">Станочные</t>
  </si>
  <si>
    <t xml:space="preserve">Изделие А</t>
  </si>
  <si>
    <t xml:space="preserve">Изделие Б</t>
  </si>
  <si>
    <t xml:space="preserve">Слесарные</t>
  </si>
  <si>
    <t xml:space="preserve">Монтажно-сборочные</t>
  </si>
  <si>
    <t xml:space="preserve">Наладочные</t>
  </si>
  <si>
    <t xml:space="preserve">Технический контроль</t>
  </si>
  <si>
    <t xml:space="preserve">Зарплата вспомогательных рабочих</t>
  </si>
  <si>
    <t xml:space="preserve">Чтс</t>
  </si>
  <si>
    <t xml:space="preserve">Полезный фонд</t>
  </si>
  <si>
    <t xml:space="preserve">Число вспомогательных рабочих</t>
  </si>
  <si>
    <t xml:space="preserve">Простая ЗП</t>
  </si>
  <si>
    <t xml:space="preserve">Зарплата управляющим</t>
  </si>
  <si>
    <t xml:space="preserve">месячный оклад</t>
  </si>
  <si>
    <t xml:space="preserve">Оплата по окладу</t>
  </si>
  <si>
    <t xml:space="preserve">Основная + Доп ЗП</t>
  </si>
  <si>
    <t xml:space="preserve">№
п/п</t>
  </si>
  <si>
    <t xml:space="preserve">Наименование 
должности 
</t>
  </si>
  <si>
    <t xml:space="preserve">Количество 
штатных
единиц</t>
  </si>
  <si>
    <t xml:space="preserve">Квалификационный 
уровень</t>
  </si>
  <si>
    <t xml:space="preserve">Месячный 
оклад, р.</t>
  </si>
  <si>
    <t xml:space="preserve">ДОС</t>
  </si>
  <si>
    <t xml:space="preserve">ЗПО</t>
  </si>
  <si>
    <t xml:space="preserve">ЗПД</t>
  </si>
  <si>
    <t xml:space="preserve">ФОТ</t>
  </si>
  <si>
    <t xml:space="preserve">Итого</t>
  </si>
  <si>
    <t xml:space="preserve">Дирик</t>
  </si>
  <si>
    <t xml:space="preserve">кур1</t>
  </si>
  <si>
    <t xml:space="preserve">Руководители (управленческий персонал)</t>
  </si>
  <si>
    <t xml:space="preserve">Зам дирика</t>
  </si>
  <si>
    <t xml:space="preserve">1.1</t>
  </si>
  <si>
    <t xml:space="preserve">Директор</t>
  </si>
  <si>
    <t xml:space="preserve">1человек</t>
  </si>
  <si>
    <t xml:space="preserve">15, 16</t>
  </si>
  <si>
    <t xml:space="preserve">1.2</t>
  </si>
  <si>
    <t xml:space="preserve">Зам. Директора</t>
  </si>
  <si>
    <t xml:space="preserve">14, 15</t>
  </si>
  <si>
    <t xml:space="preserve">1.3</t>
  </si>
  <si>
    <t xml:space="preserve">Гл. бухгалтер</t>
  </si>
  <si>
    <t xml:space="preserve">Специалисты</t>
  </si>
  <si>
    <t xml:space="preserve">2.1</t>
  </si>
  <si>
    <t xml:space="preserve">Технолог</t>
  </si>
  <si>
    <t xml:space="preserve">9,10,11</t>
  </si>
  <si>
    <t xml:space="preserve">2.2</t>
  </si>
  <si>
    <t xml:space="preserve">Конструктор</t>
  </si>
  <si>
    <t xml:space="preserve">2.3</t>
  </si>
  <si>
    <t xml:space="preserve">Программист</t>
  </si>
  <si>
    <t xml:space="preserve">2.4</t>
  </si>
  <si>
    <t xml:space="preserve">Бухгалтер</t>
  </si>
  <si>
    <t xml:space="preserve">Кол-во оборудования</t>
  </si>
  <si>
    <t xml:space="preserve">2.5</t>
  </si>
  <si>
    <t xml:space="preserve">Энергетик</t>
  </si>
  <si>
    <t xml:space="preserve">2.6</t>
  </si>
  <si>
    <t xml:space="preserve">Мастер</t>
  </si>
  <si>
    <t xml:space="preserve">8,9,</t>
  </si>
  <si>
    <t xml:space="preserve">2.7</t>
  </si>
  <si>
    <t xml:space="preserve">Механик</t>
  </si>
  <si>
    <t xml:space="preserve">Количество</t>
  </si>
  <si>
    <t xml:space="preserve">2.8</t>
  </si>
  <si>
    <t xml:space="preserve">Маркетолог</t>
  </si>
  <si>
    <t xml:space="preserve">2.9</t>
  </si>
  <si>
    <t xml:space="preserve">Экономист</t>
  </si>
  <si>
    <t xml:space="preserve">Другие служащие </t>
  </si>
  <si>
    <t xml:space="preserve">3.1</t>
  </si>
  <si>
    <t xml:space="preserve">Агент по снабжению</t>
  </si>
  <si>
    <t xml:space="preserve">6,7,8</t>
  </si>
  <si>
    <t xml:space="preserve">3.2</t>
  </si>
  <si>
    <t xml:space="preserve">Референт</t>
  </si>
  <si>
    <t xml:space="preserve">Общая потребность в площади</t>
  </si>
  <si>
    <t xml:space="preserve">3.3</t>
  </si>
  <si>
    <t xml:space="preserve">Экспедитор</t>
  </si>
  <si>
    <t xml:space="preserve">Производственная</t>
  </si>
  <si>
    <t xml:space="preserve">3.4</t>
  </si>
  <si>
    <t xml:space="preserve">Инспектор отдела кадров</t>
  </si>
  <si>
    <t xml:space="preserve">4,5,6</t>
  </si>
  <si>
    <t xml:space="preserve">Вспомогательных помещений</t>
  </si>
  <si>
    <t xml:space="preserve">Примечание:</t>
  </si>
  <si>
    <t xml:space="preserve">3.5</t>
  </si>
  <si>
    <t xml:space="preserve">Уборщик производственных помещений</t>
  </si>
  <si>
    <t xml:space="preserve">Дополнительная</t>
  </si>
  <si>
    <t xml:space="preserve">Выполнена оптимизация вычислений: /2*4 =&gt; *2</t>
  </si>
  <si>
    <t xml:space="preserve">3.6</t>
  </si>
  <si>
    <t xml:space="preserve">Уборщик бытовых помещений</t>
  </si>
  <si>
    <t xml:space="preserve">Единоразовые капитальные затраты</t>
  </si>
  <si>
    <t xml:space="preserve">Организационные:</t>
  </si>
  <si>
    <t xml:space="preserve">Зпi</t>
  </si>
  <si>
    <t xml:space="preserve">ПУД</t>
  </si>
  <si>
    <t xml:space="preserve">ГРП</t>
  </si>
  <si>
    <t xml:space="preserve">ПЗ</t>
  </si>
  <si>
    <t xml:space="preserve">Зо</t>
  </si>
  <si>
    <t xml:space="preserve">Зп(2-5)</t>
  </si>
  <si>
    <t xml:space="preserve">Зпхи</t>
  </si>
  <si>
    <t xml:space="preserve">Зтрс</t>
  </si>
  <si>
    <t xml:space="preserve">Зкт</t>
  </si>
  <si>
    <t xml:space="preserve">Ззд</t>
  </si>
  <si>
    <t xml:space="preserve">КЗ</t>
  </si>
  <si>
    <t xml:space="preserve">Норма расходов на изделие</t>
  </si>
  <si>
    <t xml:space="preserve">Цена/ед</t>
  </si>
  <si>
    <t xml:space="preserve">Цена/ед без НДС</t>
  </si>
  <si>
    <t xml:space="preserve">М1</t>
  </si>
  <si>
    <t xml:space="preserve">М2</t>
  </si>
  <si>
    <t xml:space="preserve">М3</t>
  </si>
  <si>
    <t xml:space="preserve">Д1</t>
  </si>
  <si>
    <t xml:space="preserve">Д2</t>
  </si>
  <si>
    <t xml:space="preserve">Д3</t>
  </si>
  <si>
    <t xml:space="preserve">Таблица 13</t>
  </si>
  <si>
    <t xml:space="preserve"> Калькуляция по изделиям А и Б</t>
  </si>
  <si>
    <t xml:space="preserve">Номер</t>
  </si>
  <si>
    <t xml:space="preserve">Наименование статей калькуляции</t>
  </si>
  <si>
    <t xml:space="preserve">Условное </t>
  </si>
  <si>
    <t xml:space="preserve">Затраты на изделие</t>
  </si>
  <si>
    <t xml:space="preserve">обозначение</t>
  </si>
  <si>
    <t xml:space="preserve">На одно</t>
  </si>
  <si>
    <t xml:space="preserve">На все</t>
  </si>
  <si>
    <t xml:space="preserve">Итог(На всё)</t>
  </si>
  <si>
    <t xml:space="preserve">Итог(На одно*Q)</t>
  </si>
  <si>
    <t xml:space="preserve">Сырьё и материалы</t>
  </si>
  <si>
    <t xml:space="preserve">Зmj</t>
  </si>
  <si>
    <t xml:space="preserve">Основная заработная плата основняков</t>
  </si>
  <si>
    <t xml:space="preserve">ЗПОо.pj</t>
  </si>
  <si>
    <t xml:space="preserve">Доп заработная плата основных рабочих</t>
  </si>
  <si>
    <t xml:space="preserve">ЗПДо.pj</t>
  </si>
  <si>
    <t xml:space="preserve">Страховые взносы</t>
  </si>
  <si>
    <t xml:space="preserve">СВj</t>
  </si>
  <si>
    <t xml:space="preserve">Накладные расходы</t>
  </si>
  <si>
    <t xml:space="preserve">НРj</t>
  </si>
  <si>
    <t xml:space="preserve">Производственная себестоимость</t>
  </si>
  <si>
    <t xml:space="preserve">Спр.j
(Sпр.j)</t>
  </si>
  <si>
    <t xml:space="preserve">Коммерческие расходы</t>
  </si>
  <si>
    <t xml:space="preserve">КР</t>
  </si>
  <si>
    <t xml:space="preserve">Полная себестоимость</t>
  </si>
  <si>
    <t xml:space="preserve">Сп.j </t>
  </si>
  <si>
    <t xml:space="preserve">(Sп.j)</t>
  </si>
  <si>
    <t xml:space="preserve">Таблица 10</t>
  </si>
  <si>
    <t xml:space="preserve">Наименование
материала</t>
  </si>
  <si>
    <t xml:space="preserve">Ед. 
изм.</t>
  </si>
  <si>
    <t xml:space="preserve">Норма
расхода</t>
  </si>
  <si>
    <t xml:space="preserve">Цена 
за ед. 
с НДС, р.</t>
  </si>
  <si>
    <t xml:space="preserve">Цена 
за ед. 
без НДС, р.</t>
  </si>
  <si>
    <t xml:space="preserve">Общая 
сумма затрат
без НДС, р.</t>
  </si>
  <si>
    <t xml:space="preserve">Итого по изделию</t>
  </si>
  <si>
    <t xml:space="preserve">6=5/1,20
(округление до 2-х знаков  после 
запятой)</t>
  </si>
  <si>
    <t xml:space="preserve">кг</t>
  </si>
  <si>
    <t xml:space="preserve">шт</t>
  </si>
  <si>
    <t xml:space="preserve">Таблица 11</t>
  </si>
  <si>
    <t xml:space="preserve">Проверка</t>
  </si>
  <si>
    <t xml:space="preserve">Статьи расходов</t>
  </si>
  <si>
    <t xml:space="preserve">Сумма, руб.</t>
  </si>
  <si>
    <t xml:space="preserve">Сумма накладных А и Б</t>
  </si>
  <si>
    <t xml:space="preserve">Накладные из 11</t>
  </si>
  <si>
    <t xml:space="preserve">1.</t>
  </si>
  <si>
    <t xml:space="preserve">Затраты на оплату труда, в том числе:</t>
  </si>
  <si>
    <t xml:space="preserve">ФОТ руководителей</t>
  </si>
  <si>
    <t xml:space="preserve">ФОТ специалистов</t>
  </si>
  <si>
    <t xml:space="preserve">Одно на кол-во</t>
  </si>
  <si>
    <t xml:space="preserve">Все</t>
  </si>
  <si>
    <t xml:space="preserve">ФОТ других служащих</t>
  </si>
  <si>
    <t xml:space="preserve">1.4</t>
  </si>
  <si>
    <t xml:space="preserve">ФОТ вспомогательных рабочих</t>
  </si>
  <si>
    <t xml:space="preserve">Изделие В</t>
  </si>
  <si>
    <t xml:space="preserve">Страховые взносы (СВ)=30%*пункт 1</t>
  </si>
  <si>
    <t xml:space="preserve">Амортизационные отчисления основных средств (данные расчетов таблицы 12)</t>
  </si>
  <si>
    <t xml:space="preserve">Прочие расходы</t>
  </si>
  <si>
    <t xml:space="preserve">Итого общая сумма накладных расходов (1+2+3+4)</t>
  </si>
  <si>
    <t xml:space="preserve">База для  распределения накладных расходов:
Основная заработная плата основных рабочих (данные расчетов Приложения 3, суммарное значение основной заработной платы основных рабочих по всем изделиям и операциям) </t>
  </si>
  <si>
    <t xml:space="preserve">Процент накладных расходов = (5:6)*100%
(округление до 2-х знаков после запятой в большую сторону, можно округлить до целого числа в большую сторону)</t>
  </si>
  <si>
    <t xml:space="preserve">Таблица 12</t>
  </si>
  <si>
    <t xml:space="preserve">Наименование 
основных 
средств</t>
  </si>
  <si>
    <t xml:space="preserve">Номер 
амортизационной 
группы</t>
  </si>
  <si>
    <t xml:space="preserve">Срок 
полезного использования
(Тспи), год</t>
  </si>
  <si>
    <t xml:space="preserve">Первона-
чальная
стоимость
(Фперв.)</t>
  </si>
  <si>
    <t xml:space="preserve">Сумма 
амортизацион-
ных
 отчислений
(Ао)</t>
  </si>
  <si>
    <t xml:space="preserve">Здания</t>
  </si>
  <si>
    <t xml:space="preserve">2.</t>
  </si>
  <si>
    <t xml:space="preserve">Станки</t>
  </si>
  <si>
    <t xml:space="preserve">3.</t>
  </si>
  <si>
    <t xml:space="preserve">Н/Р/И оборудование</t>
  </si>
  <si>
    <t xml:space="preserve">4.</t>
  </si>
  <si>
    <t xml:space="preserve">Оборудование КТП</t>
  </si>
  <si>
    <t xml:space="preserve">5.</t>
  </si>
  <si>
    <t xml:space="preserve">Пром. и Хоз. инвентарь</t>
  </si>
  <si>
    <t xml:space="preserve">6.</t>
  </si>
  <si>
    <t xml:space="preserve">Транспорт</t>
  </si>
  <si>
    <t xml:space="preserve">7.</t>
  </si>
  <si>
    <t xml:space="preserve">Слесарные оборудование</t>
  </si>
  <si>
    <t xml:space="preserve">8.</t>
  </si>
  <si>
    <t xml:space="preserve">М/С оборудование</t>
  </si>
  <si>
    <t xml:space="preserve">9.</t>
  </si>
  <si>
    <t xml:space="preserve">Компьютеры и оргтехника</t>
  </si>
  <si>
    <t xml:space="preserve">7.2</t>
  </si>
  <si>
    <t xml:space="preserve">Kj</t>
  </si>
  <si>
    <t xml:space="preserve">А</t>
  </si>
  <si>
    <t xml:space="preserve">Б</t>
  </si>
  <si>
    <t xml:space="preserve">Цj</t>
  </si>
  <si>
    <t xml:space="preserve">Выручка</t>
  </si>
  <si>
    <t xml:space="preserve">qкрит.j</t>
  </si>
  <si>
    <t xml:space="preserve">Себестоимость</t>
  </si>
  <si>
    <t xml:space="preserve">Таблица 14</t>
  </si>
  <si>
    <t xml:space="preserve">7.3</t>
  </si>
  <si>
    <t xml:space="preserve">Rизделияj</t>
  </si>
  <si>
    <t xml:space="preserve">Bj</t>
  </si>
  <si>
    <t xml:space="preserve">Пмарж.j</t>
  </si>
  <si>
    <t xml:space="preserve">Пот.продажj</t>
  </si>
  <si>
    <t xml:space="preserve">Пчист.j</t>
  </si>
  <si>
    <t xml:space="preserve">Нпj</t>
  </si>
  <si>
    <t xml:space="preserve">Rпрод.j</t>
  </si>
  <si>
    <t xml:space="preserve">Rпродаж.j</t>
  </si>
  <si>
    <t xml:space="preserve">7.4</t>
  </si>
  <si>
    <t xml:space="preserve">Q</t>
  </si>
  <si>
    <t xml:space="preserve">Зудпер, тыс</t>
  </si>
  <si>
    <t xml:space="preserve">Зсумпер, тыс</t>
  </si>
  <si>
    <t xml:space="preserve">Зсумпост, тыс</t>
  </si>
  <si>
    <t xml:space="preserve">Sсумпол, тыс</t>
  </si>
  <si>
    <t xml:space="preserve">Цуд, тыс</t>
  </si>
  <si>
    <t xml:space="preserve">B, тыс</t>
  </si>
  <si>
    <t xml:space="preserve">Q, тыс</t>
  </si>
  <si>
    <t xml:space="preserve">Ka</t>
  </si>
  <si>
    <t xml:space="preserve">Qa</t>
  </si>
  <si>
    <t xml:space="preserve">Кб</t>
  </si>
  <si>
    <t xml:space="preserve">Qб</t>
  </si>
  <si>
    <t xml:space="preserve">7.5</t>
  </si>
  <si>
    <t xml:space="preserve">Rкз</t>
  </si>
  <si>
    <t xml:space="preserve">Ток</t>
  </si>
  <si>
    <t xml:space="preserve">Таблица 16</t>
  </si>
  <si>
    <t xml:space="preserve">№ п/п</t>
  </si>
  <si>
    <t xml:space="preserve">Наименование показателей</t>
  </si>
  <si>
    <t xml:space="preserve">Результат</t>
  </si>
  <si>
    <t xml:space="preserve">Капитальные (единовременные затраты)</t>
  </si>
  <si>
    <t xml:space="preserve">р.</t>
  </si>
  <si>
    <t xml:space="preserve">Общая площадь</t>
  </si>
  <si>
    <t xml:space="preserve">м2</t>
  </si>
  <si>
    <t xml:space="preserve">3
3.1
3.2
3.3
3.4
3.5</t>
  </si>
  <si>
    <t xml:space="preserve">Численность работников  предприятия, в том числе:
    рабочих
    руководителей
    специалистов
    других служащих
    </t>
  </si>
  <si>
    <t xml:space="preserve">чел.</t>
  </si>
  <si>
    <t xml:space="preserve">Себестоимость единицы изделия:  «А»</t>
  </si>
  <si>
    <t xml:space="preserve"> «Б»</t>
  </si>
  <si>
    <t xml:space="preserve">Прогнозируемая цена единицы изделия:  «А»</t>
  </si>
  <si>
    <t xml:space="preserve">Выручка от реализации (продажи) продукции</t>
  </si>
  <si>
    <t xml:space="preserve">Маржинальный доход (прибыль)</t>
  </si>
  <si>
    <t xml:space="preserve">Прибыль от продаж</t>
  </si>
  <si>
    <t xml:space="preserve">Чистая прибыль</t>
  </si>
  <si>
    <t xml:space="preserve">Рентабельность предприятия</t>
  </si>
  <si>
    <t xml:space="preserve">%</t>
  </si>
  <si>
    <t xml:space="preserve">Срок окупаемости капитальных затрат</t>
  </si>
  <si>
    <t xml:space="preserve">лет</t>
  </si>
  <si>
    <t xml:space="preserve">Вывод:</t>
  </si>
  <si>
    <t xml:space="preserve">Предприятие окупается за 3 года, так что предприятие считается прибыльным. </t>
  </si>
  <si>
    <t xml:space="preserve">1. Эффективность капитальных вложений: Рассчитанный срок окупаемости единовременных капитальных затрат составляет 3,06 года, что не превышает нормативный период окупаемости (5–7 лет). Это свидетельствует об экономической целесообразности создания предприятия.</t>
  </si>
  <si>
    <t xml:space="preserve">2. Финансовые результаты:</t>
  </si>
  <si>
    <t xml:space="preserve">   - Годовая чистая прибыль предприятия составит 324,97 млн руб.</t>
  </si>
  <si>
    <t xml:space="preserve">   - Рентабельность предприятия (рентабельность капитальных затрат) — 32,63%, что подтверждает достаточную эффективность использования инвестированных средств.</t>
  </si>
  <si>
    <t xml:space="preserve">   - Выручка от реализации продукции составит 750,28 млн руб.</t>
  </si>
  <si>
    <t xml:space="preserve">3. Анализ по изделиям:</t>
  </si>
  <si>
    <t xml:space="preserve">   - Изделие Б демонстрирует высокую рентабельность продаж — 127,53% и продукции — 56,08% , что делает его ключевым продуктом в портфеле.</t>
  </si>
  <si>
    <t xml:space="preserve">   - Изделие А имеет значительно более низкие показатели рентабельности (продаж — 95,32%, продукции — 48,8%), что указывает на необходимость пересмотра структуры затрат или ценовой политики по данному продукту.</t>
  </si>
  <si>
    <t xml:space="preserve">4. Производственные и трудовые показатели:</t>
  </si>
  <si>
    <t xml:space="preserve">   - Численность персонала — 114 человек, фонд оплаты труда — 132,96 млн руб. в год.</t>
  </si>
  <si>
    <t xml:space="preserve">   - Общая потребность в площади — 922 м², что обеспечивает нормальные условия для организации двухсменного режима работы.</t>
  </si>
  <si>
    <t xml:space="preserve">5. Рекомендация: Проект следует признать целесообразным для реализации. В дальнейшем рекомендуется:</t>
  </si>
  <si>
    <t xml:space="preserve">   - Провести детальный анализ структуры затрат по изделию А с целью повышения его рентабельности.</t>
  </si>
  <si>
    <t xml:space="preserve">   - Рассмотреть возможность оптимизации постоянных затрат и усиления контроля за использованием ресурсов.</t>
  </si>
  <si>
    <t xml:space="preserve">Таким образом, организация нового производства является экономически обоснованной и способна обеспечить стабильную прибыль в долгосрочной перспективе.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</si>
</sst>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%"/>
    <numFmt numFmtId="166" formatCode="0"/>
    <numFmt numFmtId="167" formatCode="0.00"/>
    <numFmt numFmtId="168" formatCode="#,##0"/>
    <numFmt numFmtId="169" formatCode="@"/>
    <numFmt numFmtId="170" formatCode="0.000"/>
    <numFmt numFmtId="171" formatCode="0.000%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0"/>
      <color rgb="FFFFFFFF"/>
      <name val="Arial"/>
      <family val="2"/>
    </font>
    <font>
      <sz val="13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2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2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5" fillId="3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3" borderId="0" xfId="2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Акцент 3" xfId="20"/>
    <cellStyle name="Акцент 1" xfId="21"/>
    <cellStyle name="Акцент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8A303"/>
      <rgbColor rgb="FF000080"/>
      <rgbColor rgb="FF808000"/>
      <rgbColor rgb="FF8E03A3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369A3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4586"/>
      <rgbColor rgb="FF579D1C"/>
      <rgbColor rgb="FF003300"/>
      <rgbColor rgb="FF333300"/>
      <rgbColor rgb="FFA33E03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0" sz="1300" strike="noStrike" u="none">
                <a:uFillTx/>
                <a:latin typeface="Arial"/>
              </a:rPr>
              <a:t>График безубыточности
</a:t>
            </a:r>
          </a:p>
          <a:p>
            <a:pPr>
              <a:defRPr b="0" sz="1300" strike="noStrike" u="none">
                <a:uFillTx/>
                <a:latin typeface="Arial"/>
              </a:defRPr>
            </a:pPr>
            <a:r>
              <a:rPr b="0" sz="1100" strike="noStrike" u="none">
                <a:uFillTx/>
                <a:latin typeface="Arial"/>
              </a:rPr>
              <a:t>Изделие А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Лист1!$R$193</c:f>
              <c:strCache>
                <c:ptCount val="1"/>
                <c:pt idx="0">
                  <c:v>Sсумпол, тыс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Лист1!$U$194:$U$196</c:f>
              <c:numCache>
                <c:formatCode>General</c:formatCode>
                <c:ptCount val="3"/>
                <c:pt idx="0">
                  <c:v>0</c:v>
                </c:pt>
                <c:pt idx="1">
                  <c:v>2261</c:v>
                </c:pt>
                <c:pt idx="2">
                  <c:v>5000</c:v>
                </c:pt>
              </c:numCache>
            </c:numRef>
          </c:xVal>
          <c:yVal>
            <c:numRef>
              <c:f>Лист1!$R$194:$R$196</c:f>
              <c:numCache>
                <c:formatCode>0.00</c:formatCode>
                <c:ptCount val="3"/>
                <c:pt idx="0">
                  <c:v>170621.939876379</c:v>
                </c:pt>
                <c:pt idx="1">
                  <c:v>191519.790073777</c:v>
                </c:pt>
                <c:pt idx="2">
                  <c:v>216835.673174474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Лист1!$P$193</c:f>
              <c:strCache>
                <c:ptCount val="1"/>
                <c:pt idx="0">
                  <c:v>Зсумпер, тыс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Лист1!$U$194:$U$196</c:f>
              <c:numCache>
                <c:formatCode>General</c:formatCode>
                <c:ptCount val="3"/>
                <c:pt idx="0">
                  <c:v>0</c:v>
                </c:pt>
                <c:pt idx="1">
                  <c:v>2261</c:v>
                </c:pt>
                <c:pt idx="2">
                  <c:v>5000</c:v>
                </c:pt>
              </c:numCache>
            </c:numRef>
          </c:xVal>
          <c:yVal>
            <c:numRef>
              <c:f>Лист1!$P$194:$P$196</c:f>
              <c:numCache>
                <c:formatCode>General</c:formatCode>
                <c:ptCount val="3"/>
                <c:pt idx="0">
                  <c:v>0</c:v>
                </c:pt>
                <c:pt idx="1">
                  <c:v>20897.8501973987</c:v>
                </c:pt>
                <c:pt idx="2">
                  <c:v>46213.7332980952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Лист1!$Q$193</c:f>
              <c:strCache>
                <c:ptCount val="1"/>
                <c:pt idx="0">
                  <c:v>Зсумпост, тыс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triangle"/>
            <c:size val="8"/>
            <c:spPr>
              <a:solidFill>
                <a:srgbClr val="579d1c"/>
              </a:solidFill>
            </c:spPr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Лист1!$U$194:$U$196</c:f>
              <c:numCache>
                <c:formatCode>General</c:formatCode>
                <c:ptCount val="3"/>
                <c:pt idx="0">
                  <c:v>0</c:v>
                </c:pt>
                <c:pt idx="1">
                  <c:v>2261</c:v>
                </c:pt>
                <c:pt idx="2">
                  <c:v>5000</c:v>
                </c:pt>
              </c:numCache>
            </c:numRef>
          </c:xVal>
          <c:yVal>
            <c:numRef>
              <c:f>Лист1!$Q$194:$Q$196</c:f>
              <c:numCache>
                <c:formatCode>0.00</c:formatCode>
                <c:ptCount val="3"/>
                <c:pt idx="0">
                  <c:v>170621.939876379</c:v>
                </c:pt>
                <c:pt idx="1">
                  <c:v>170621.939876379</c:v>
                </c:pt>
                <c:pt idx="2">
                  <c:v>170621.939876379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Лист1!$T$193</c:f>
              <c:strCache>
                <c:ptCount val="1"/>
                <c:pt idx="0">
                  <c:v>B, тыс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Лист1!$U$194:$U$196</c:f>
              <c:numCache>
                <c:formatCode>General</c:formatCode>
                <c:ptCount val="3"/>
                <c:pt idx="0">
                  <c:v>0</c:v>
                </c:pt>
                <c:pt idx="1">
                  <c:v>2261</c:v>
                </c:pt>
                <c:pt idx="2">
                  <c:v>5000</c:v>
                </c:pt>
              </c:numCache>
            </c:numRef>
          </c:xVal>
          <c:yVal>
            <c:numRef>
              <c:f>Лист1!$T$194:$T$196</c:f>
              <c:numCache>
                <c:formatCode>General</c:formatCode>
                <c:ptCount val="3"/>
                <c:pt idx="0">
                  <c:v>0</c:v>
                </c:pt>
                <c:pt idx="1">
                  <c:v>191519790.073777</c:v>
                </c:pt>
                <c:pt idx="2">
                  <c:v>423528947.531573</c:v>
                </c:pt>
              </c:numCache>
            </c:numRef>
          </c:yVal>
          <c:smooth val="0"/>
        </c:ser>
        <c:axId val="85068470"/>
        <c:axId val="68857606"/>
      </c:scatterChart>
      <c:valAx>
        <c:axId val="85068470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900" strike="noStrike" u="none">
                    <a:uFillTx/>
                    <a:latin typeface="Arial"/>
                  </a:rPr>
                  <a:t>Количество изделий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uFillTx/>
                <a:latin typeface="Arial"/>
              </a:defRPr>
            </a:pPr>
          </a:p>
        </c:txPr>
        <c:crossAx val="68857606"/>
        <c:crosses val="autoZero"/>
        <c:crossBetween val="between"/>
      </c:valAx>
      <c:valAx>
        <c:axId val="6885760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900" strike="noStrike" u="none">
                    <a:uFillTx/>
                    <a:latin typeface="Arial"/>
                  </a:rPr>
                  <a:t>Затраты/Выручка, руб.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uFillTx/>
                <a:latin typeface="Arial"/>
              </a:defRPr>
            </a:pPr>
          </a:p>
        </c:txPr>
        <c:crossAx val="85068470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uFillTx/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 w="0"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0" sz="1300" strike="noStrike" u="none">
                <a:uFillTx/>
                <a:latin typeface="Arial"/>
              </a:rPr>
              <a:t>График безубыточности
</a:t>
            </a:r>
          </a:p>
          <a:p>
            <a:pPr>
              <a:defRPr b="0" sz="1300" strike="noStrike" u="none">
                <a:uFillTx/>
                <a:latin typeface="Arial"/>
              </a:defRPr>
            </a:pPr>
            <a:r>
              <a:rPr b="0" sz="1100" strike="noStrike" u="none">
                <a:uFillTx/>
                <a:latin typeface="Arial"/>
              </a:rPr>
              <a:t>Изделие Б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Лист1!$T$193</c:f>
              <c:strCache>
                <c:ptCount val="1"/>
                <c:pt idx="0">
                  <c:v>B, тыс</c:v>
                </c:pt>
              </c:strCache>
            </c:strRef>
          </c:tx>
          <c:spPr>
            <a:solidFill>
              <a:srgbClr val="18a303"/>
            </a:solidFill>
            <a:ln w="28800">
              <a:solidFill>
                <a:srgbClr val="18a303"/>
              </a:solidFill>
              <a:round/>
            </a:ln>
          </c:spPr>
          <c:marker>
            <c:symbol val="diamond"/>
            <c:size val="8"/>
            <c:spPr>
              <a:solidFill>
                <a:srgbClr val="18a303"/>
              </a:solidFill>
            </c:spPr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Лист1!$U$197:$U$199</c:f>
              <c:numCache>
                <c:formatCode>General</c:formatCode>
                <c:ptCount val="3"/>
                <c:pt idx="0">
                  <c:v>0</c:v>
                </c:pt>
                <c:pt idx="1">
                  <c:v>959</c:v>
                </c:pt>
                <c:pt idx="2">
                  <c:v>2500</c:v>
                </c:pt>
              </c:numCache>
            </c:numRef>
          </c:xVal>
          <c:yVal>
            <c:numRef>
              <c:f>Лист1!$T$194:$T$199</c:f>
              <c:numCache>
                <c:formatCode>General</c:formatCode>
                <c:ptCount val="6"/>
                <c:pt idx="0">
                  <c:v>0</c:v>
                </c:pt>
                <c:pt idx="1">
                  <c:v>191519790.073777</c:v>
                </c:pt>
                <c:pt idx="2">
                  <c:v>423528947.531573</c:v>
                </c:pt>
                <c:pt idx="3">
                  <c:v>0</c:v>
                </c:pt>
                <c:pt idx="4">
                  <c:v>125345313.831491</c:v>
                </c:pt>
                <c:pt idx="5">
                  <c:v>326760463.585744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Лист1!$Q$193</c:f>
              <c:strCache>
                <c:ptCount val="1"/>
                <c:pt idx="0">
                  <c:v>Зсумпост, тыс</c:v>
                </c:pt>
              </c:strCache>
            </c:strRef>
          </c:tx>
          <c:spPr>
            <a:solidFill>
              <a:srgbClr val="0369a3"/>
            </a:solidFill>
            <a:ln w="28800">
              <a:solidFill>
                <a:srgbClr val="0369a3"/>
              </a:solidFill>
              <a:round/>
            </a:ln>
          </c:spPr>
          <c:marker>
            <c:symbol val="triangle"/>
            <c:size val="8"/>
            <c:spPr>
              <a:solidFill>
                <a:srgbClr val="0369a3"/>
              </a:solidFill>
            </c:spPr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Лист1!$U$197:$U$199</c:f>
              <c:numCache>
                <c:formatCode>General</c:formatCode>
                <c:ptCount val="3"/>
                <c:pt idx="0">
                  <c:v>0</c:v>
                </c:pt>
                <c:pt idx="1">
                  <c:v>959</c:v>
                </c:pt>
                <c:pt idx="2">
                  <c:v>2500</c:v>
                </c:pt>
              </c:numCache>
            </c:numRef>
          </c:xVal>
          <c:yVal>
            <c:numRef>
              <c:f>Лист1!$Q$197:$Q$199</c:f>
              <c:numCache>
                <c:formatCode>0.00</c:formatCode>
                <c:ptCount val="3"/>
                <c:pt idx="0">
                  <c:v>114056.223887797</c:v>
                </c:pt>
                <c:pt idx="1">
                  <c:v>114056.223887797</c:v>
                </c:pt>
                <c:pt idx="2">
                  <c:v>114056.223887797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Лист1!$P$193</c:f>
              <c:strCache>
                <c:ptCount val="1"/>
                <c:pt idx="0">
                  <c:v>Зсумпер, тыс</c:v>
                </c:pt>
              </c:strCache>
            </c:strRef>
          </c:tx>
          <c:spPr>
            <a:solidFill>
              <a:srgbClr val="a33e03"/>
            </a:solidFill>
            <a:ln w="28800">
              <a:solidFill>
                <a:srgbClr val="a33e03"/>
              </a:solidFill>
              <a:round/>
            </a:ln>
          </c:spPr>
          <c:marker>
            <c:symbol val="triangle"/>
            <c:size val="8"/>
            <c:spPr>
              <a:solidFill>
                <a:srgbClr val="a33e03"/>
              </a:solidFill>
            </c:spPr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Лист1!$U$197:$U$199</c:f>
              <c:numCache>
                <c:formatCode>General</c:formatCode>
                <c:ptCount val="3"/>
                <c:pt idx="0">
                  <c:v>0</c:v>
                </c:pt>
                <c:pt idx="1">
                  <c:v>959</c:v>
                </c:pt>
                <c:pt idx="2">
                  <c:v>2500</c:v>
                </c:pt>
              </c:numCache>
            </c:numRef>
          </c:xVal>
          <c:yVal>
            <c:numRef>
              <c:f>Лист1!$P$197:$P$199</c:f>
              <c:numCache>
                <c:formatCode>General</c:formatCode>
                <c:ptCount val="3"/>
                <c:pt idx="0">
                  <c:v>0</c:v>
                </c:pt>
                <c:pt idx="1">
                  <c:v>11289.0899436947</c:v>
                </c:pt>
                <c:pt idx="2">
                  <c:v>29429.327277619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Лист1!$R$193</c:f>
              <c:strCache>
                <c:ptCount val="1"/>
                <c:pt idx="0">
                  <c:v>Sсумпол, тыс</c:v>
                </c:pt>
              </c:strCache>
            </c:strRef>
          </c:tx>
          <c:spPr>
            <a:solidFill>
              <a:srgbClr val="8e03a3"/>
            </a:solidFill>
            <a:ln w="28800">
              <a:solidFill>
                <a:srgbClr val="8e03a3"/>
              </a:solidFill>
              <a:round/>
            </a:ln>
          </c:spPr>
          <c:marker>
            <c:symbol val="diamond"/>
            <c:size val="8"/>
            <c:spPr>
              <a:solidFill>
                <a:srgbClr val="8e03a3"/>
              </a:solidFill>
            </c:spPr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Лист1!$U$197:$U$199</c:f>
              <c:numCache>
                <c:formatCode>General</c:formatCode>
                <c:ptCount val="3"/>
                <c:pt idx="0">
                  <c:v>0</c:v>
                </c:pt>
                <c:pt idx="1">
                  <c:v>959</c:v>
                </c:pt>
                <c:pt idx="2">
                  <c:v>2500</c:v>
                </c:pt>
              </c:numCache>
            </c:numRef>
          </c:xVal>
          <c:yVal>
            <c:numRef>
              <c:f>Лист1!$R$197:$R$199</c:f>
              <c:numCache>
                <c:formatCode>0.00</c:formatCode>
                <c:ptCount val="3"/>
                <c:pt idx="0">
                  <c:v>114056.223887797</c:v>
                </c:pt>
                <c:pt idx="1">
                  <c:v>125345.313831491</c:v>
                </c:pt>
                <c:pt idx="2">
                  <c:v>143485.551165416</c:v>
                </c:pt>
              </c:numCache>
            </c:numRef>
          </c:yVal>
          <c:smooth val="0"/>
        </c:ser>
        <c:axId val="80579358"/>
        <c:axId val="30452283"/>
      </c:scatterChart>
      <c:valAx>
        <c:axId val="80579358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900" strike="noStrike" u="none">
                    <a:uFillTx/>
                    <a:latin typeface="Arial"/>
                  </a:rPr>
                  <a:t>Количество изделий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uFillTx/>
                <a:latin typeface="Arial"/>
              </a:defRPr>
            </a:pPr>
          </a:p>
        </c:txPr>
        <c:crossAx val="30452283"/>
        <c:crosses val="autoZero"/>
        <c:crossBetween val="between"/>
      </c:valAx>
      <c:valAx>
        <c:axId val="3045228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900" strike="noStrike" u="none">
                    <a:uFillTx/>
                    <a:latin typeface="Arial"/>
                  </a:rPr>
                  <a:t>Затраты/Выручка, руб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trike="noStrike" u="none">
                <a:uFillTx/>
                <a:latin typeface="Arial"/>
              </a:defRPr>
            </a:pPr>
          </a:p>
        </c:txPr>
        <c:crossAx val="80579358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uFillTx/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242280</xdr:colOff>
      <xdr:row>199</xdr:row>
      <xdr:rowOff>120240</xdr:rowOff>
    </xdr:from>
    <xdr:to>
      <xdr:col>15</xdr:col>
      <xdr:colOff>2702520</xdr:colOff>
      <xdr:row>237</xdr:row>
      <xdr:rowOff>69120</xdr:rowOff>
    </xdr:to>
    <xdr:graphicFrame>
      <xdr:nvGraphicFramePr>
        <xdr:cNvPr id="1" name=""/>
        <xdr:cNvGraphicFramePr/>
      </xdr:nvGraphicFramePr>
      <xdr:xfrm>
        <a:off x="10157760" y="34625520"/>
        <a:ext cx="10875960" cy="6126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2988720</xdr:colOff>
      <xdr:row>200</xdr:row>
      <xdr:rowOff>13320</xdr:rowOff>
    </xdr:from>
    <xdr:to>
      <xdr:col>17</xdr:col>
      <xdr:colOff>430560</xdr:colOff>
      <xdr:row>238</xdr:row>
      <xdr:rowOff>110160</xdr:rowOff>
    </xdr:to>
    <xdr:graphicFrame>
      <xdr:nvGraphicFramePr>
        <xdr:cNvPr id="2" name=""/>
        <xdr:cNvGraphicFramePr/>
      </xdr:nvGraphicFramePr>
      <xdr:xfrm>
        <a:off x="21319920" y="34681320"/>
        <a:ext cx="11154600" cy="6274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300"/>
  <sheetViews>
    <sheetView showFormulas="false" showGridLines="true" showRowColHeaders="true" showZeros="true" rightToLeft="false" tabSelected="true" showOutlineSymbols="true" defaultGridColor="true" view="normal" topLeftCell="K233" colorId="64" zoomScale="65" zoomScaleNormal="65" zoomScalePageLayoutView="100" workbookViewId="0">
      <selection pane="topLeft" activeCell="R262" activeCellId="0" sqref="R26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7" min="7" style="0" width="15.02"/>
    <col collapsed="false" customWidth="true" hidden="false" outlineLevel="0" max="8" min="8" style="0" width="18.41"/>
    <col collapsed="false" customWidth="true" hidden="false" outlineLevel="0" max="9" min="9" style="0" width="12.84"/>
    <col collapsed="false" customWidth="true" hidden="false" outlineLevel="0" max="10" min="10" style="0" width="13.69"/>
    <col collapsed="false" customWidth="true" hidden="false" outlineLevel="0" max="12" min="12" style="0" width="10.85"/>
    <col collapsed="false" customWidth="true" hidden="false" outlineLevel="0" max="13" min="13" style="0" width="6.68"/>
    <col collapsed="false" customWidth="true" hidden="false" outlineLevel="0" max="14" min="14" style="0" width="48.15"/>
    <col collapsed="false" customWidth="true" hidden="false" outlineLevel="0" max="15" min="15" style="0" width="53.72"/>
    <col collapsed="false" customWidth="true" hidden="false" outlineLevel="0" max="16" min="16" style="0" width="174.01"/>
    <col collapsed="false" customWidth="true" hidden="false" outlineLevel="0" max="17" min="17" style="0" width="20.54"/>
    <col collapsed="false" customWidth="true" hidden="false" outlineLevel="0" max="18" min="18" style="0" width="25.19"/>
    <col collapsed="false" customWidth="true" hidden="false" outlineLevel="0" max="19" min="19" style="0" width="21.23"/>
    <col collapsed="false" customWidth="true" hidden="false" outlineLevel="0" max="20" min="20" style="0" width="25.19"/>
    <col collapsed="false" customWidth="true" hidden="false" outlineLevel="0" max="21" min="21" style="0" width="20.35"/>
    <col collapsed="false" customWidth="true" hidden="false" outlineLevel="0" max="22" min="22" style="0" width="26.36"/>
    <col collapsed="false" customWidth="true" hidden="false" outlineLevel="0" max="23" min="23" style="0" width="28.38"/>
    <col collapsed="false" customWidth="true" hidden="false" outlineLevel="0" max="24" min="24" style="0" width="31.19"/>
    <col collapsed="false" customWidth="true" hidden="false" outlineLevel="0" max="27" min="27" style="0" width="22.49"/>
    <col collapsed="false" customWidth="true" hidden="false" outlineLevel="0" max="28" min="28" style="0" width="14.72"/>
    <col collapsed="false" customWidth="true" hidden="false" outlineLevel="0" max="29" min="29" style="0" width="18.55"/>
    <col collapsed="false" customWidth="true" hidden="false" outlineLevel="0" max="31" min="31" style="0" width="12.62"/>
    <col collapsed="false" customWidth="true" hidden="false" outlineLevel="0" max="34" min="34" style="0" width="14.49"/>
    <col collapsed="false" customWidth="true" hidden="false" outlineLevel="0" max="35" min="35" style="0" width="15.19"/>
  </cols>
  <sheetData>
    <row r="1" customFormat="false" ht="12.8" hidden="false" customHeight="false" outlineLevel="0" collapsed="false">
      <c r="A1" s="1" t="s">
        <v>0</v>
      </c>
      <c r="B1" s="2" t="n">
        <v>20</v>
      </c>
      <c r="C1" s="1" t="s">
        <v>1</v>
      </c>
      <c r="D1" s="2" t="n">
        <v>22440</v>
      </c>
      <c r="F1" s="2"/>
      <c r="G1" s="1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2"/>
      <c r="N1" s="3"/>
      <c r="O1" s="3" t="s">
        <v>8</v>
      </c>
      <c r="P1" s="3" t="s">
        <v>9</v>
      </c>
      <c r="Q1" s="3" t="s">
        <v>10</v>
      </c>
    </row>
    <row r="2" customFormat="false" ht="12.8" hidden="false" customHeight="false" outlineLevel="0" collapsed="false">
      <c r="A2" s="1" t="s">
        <v>11</v>
      </c>
      <c r="B2" s="4" t="n">
        <v>0.1</v>
      </c>
      <c r="C2" s="2"/>
      <c r="D2" s="2"/>
      <c r="E2" s="2"/>
      <c r="F2" s="2"/>
      <c r="G2" s="5" t="s">
        <v>12</v>
      </c>
      <c r="H2" s="2" t="n">
        <v>4</v>
      </c>
      <c r="I2" s="0" t="n">
        <v>1.8</v>
      </c>
      <c r="J2" s="0" t="n">
        <v>2.5</v>
      </c>
      <c r="K2" s="0" t="n">
        <v>1.03</v>
      </c>
      <c r="L2" s="0" t="n">
        <v>0</v>
      </c>
      <c r="M2" s="2"/>
      <c r="N2" s="3" t="s">
        <v>13</v>
      </c>
      <c r="O2" s="2" t="s">
        <v>14</v>
      </c>
      <c r="P2" s="6" t="n">
        <v>365</v>
      </c>
      <c r="Q2" s="2"/>
    </row>
    <row r="3" customFormat="false" ht="12.8" hidden="false" customHeight="false" outlineLevel="0" collapsed="false">
      <c r="G3" s="5" t="s">
        <v>15</v>
      </c>
      <c r="H3" s="2" t="n">
        <v>4</v>
      </c>
      <c r="I3" s="0" t="n">
        <v>2.4</v>
      </c>
      <c r="J3" s="0" t="n">
        <v>2.9</v>
      </c>
      <c r="K3" s="0" t="n">
        <v>1</v>
      </c>
      <c r="L3" s="0" t="n">
        <v>0</v>
      </c>
      <c r="M3" s="2"/>
      <c r="N3" s="3" t="s">
        <v>16</v>
      </c>
      <c r="O3" s="2" t="s">
        <v>14</v>
      </c>
      <c r="P3" s="6" t="n">
        <v>118</v>
      </c>
      <c r="Q3" s="2"/>
    </row>
    <row r="4" customFormat="false" ht="12.8" hidden="false" customHeight="false" outlineLevel="0" collapsed="false">
      <c r="B4" s="1" t="s">
        <v>17</v>
      </c>
      <c r="C4" s="1" t="s">
        <v>18</v>
      </c>
      <c r="G4" s="5" t="s">
        <v>19</v>
      </c>
      <c r="H4" s="2" t="n">
        <v>3</v>
      </c>
      <c r="I4" s="0" t="n">
        <v>4.3</v>
      </c>
      <c r="J4" s="0" t="n">
        <v>5</v>
      </c>
      <c r="K4" s="0" t="n">
        <v>1</v>
      </c>
      <c r="L4" s="0" t="n">
        <v>0</v>
      </c>
      <c r="M4" s="2"/>
      <c r="N4" s="3" t="s">
        <v>20</v>
      </c>
      <c r="O4" s="2" t="s">
        <v>14</v>
      </c>
      <c r="P4" s="6" t="n">
        <v>247</v>
      </c>
      <c r="Q4" s="4" t="n">
        <v>1</v>
      </c>
    </row>
    <row r="5" customFormat="false" ht="12.8" hidden="false" customHeight="false" outlineLevel="0" collapsed="false">
      <c r="A5" s="1" t="s">
        <v>21</v>
      </c>
      <c r="B5" s="2" t="n">
        <v>5000</v>
      </c>
      <c r="C5" s="2" t="n">
        <v>165</v>
      </c>
      <c r="G5" s="5" t="s">
        <v>22</v>
      </c>
      <c r="H5" s="2" t="n">
        <v>5</v>
      </c>
      <c r="I5" s="0" t="n">
        <v>6.5</v>
      </c>
      <c r="J5" s="0" t="n">
        <v>9.6</v>
      </c>
      <c r="K5" s="0" t="n">
        <v>1</v>
      </c>
      <c r="L5" s="0" t="n">
        <v>0</v>
      </c>
      <c r="M5" s="2"/>
      <c r="N5" s="3" t="s">
        <v>23</v>
      </c>
      <c r="O5" s="2" t="s">
        <v>14</v>
      </c>
      <c r="P5" s="6" t="n">
        <f aca="false">SUM(P6:P10)</f>
        <v>26.47</v>
      </c>
      <c r="Q5" s="4" t="n">
        <v>0.102</v>
      </c>
    </row>
    <row r="6" customFormat="false" ht="13.4" hidden="false" customHeight="true" outlineLevel="0" collapsed="false">
      <c r="A6" s="1" t="s">
        <v>24</v>
      </c>
      <c r="B6" s="2" t="n">
        <v>2500</v>
      </c>
      <c r="C6" s="2" t="n">
        <v>140</v>
      </c>
      <c r="G6" s="3" t="s">
        <v>25</v>
      </c>
      <c r="H6" s="2" t="n">
        <v>3</v>
      </c>
      <c r="I6" s="0" t="n">
        <v>0.5</v>
      </c>
      <c r="J6" s="0" t="n">
        <v>0.6</v>
      </c>
      <c r="K6" s="0" t="n">
        <v>0</v>
      </c>
      <c r="L6" s="0" t="n">
        <v>0.5</v>
      </c>
      <c r="M6" s="2"/>
      <c r="N6" s="3" t="s">
        <v>26</v>
      </c>
      <c r="O6" s="2" t="s">
        <v>14</v>
      </c>
      <c r="P6" s="6" t="n">
        <f aca="false">_xlfn.CEILING.MATH(P$4*Q6)</f>
        <v>15</v>
      </c>
      <c r="Q6" s="4" t="n">
        <v>0.06</v>
      </c>
    </row>
    <row r="7" customFormat="false" ht="13.4" hidden="false" customHeight="true" outlineLevel="0" collapsed="false">
      <c r="N7" s="3" t="s">
        <v>27</v>
      </c>
      <c r="O7" s="2" t="s">
        <v>14</v>
      </c>
      <c r="P7" s="6" t="n">
        <f aca="false">P$4*Q7</f>
        <v>1.482</v>
      </c>
      <c r="Q7" s="4" t="n">
        <v>0.006</v>
      </c>
    </row>
    <row r="8" customFormat="false" ht="12.8" hidden="false" customHeight="false" outlineLevel="0" collapsed="false">
      <c r="N8" s="3" t="s">
        <v>28</v>
      </c>
      <c r="O8" s="2" t="s">
        <v>14</v>
      </c>
      <c r="P8" s="6" t="n">
        <f aca="false">_xlfn.CEILING.MATH(P$4*Q8)</f>
        <v>2</v>
      </c>
      <c r="Q8" s="4" t="n">
        <v>0.006</v>
      </c>
    </row>
    <row r="9" customFormat="false" ht="12.8" hidden="false" customHeight="false" outlineLevel="0" collapsed="false">
      <c r="A9" s="1" t="s">
        <v>2</v>
      </c>
      <c r="B9" s="1" t="s">
        <v>29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35</v>
      </c>
      <c r="N9" s="3" t="s">
        <v>36</v>
      </c>
      <c r="O9" s="2" t="s">
        <v>14</v>
      </c>
      <c r="P9" s="6" t="n">
        <f aca="false">P$4*Q9</f>
        <v>0.988</v>
      </c>
      <c r="Q9" s="4" t="n">
        <v>0.004</v>
      </c>
    </row>
    <row r="10" customFormat="false" ht="12.8" hidden="false" customHeight="false" outlineLevel="0" collapsed="false">
      <c r="A10" s="1" t="n">
        <v>1</v>
      </c>
      <c r="B10" s="0" t="n">
        <f aca="false">_xlfn.CEILING.MATH(($B$5*I2+$B$6*J2)/(E10*K2))</f>
        <v>9</v>
      </c>
      <c r="C10" s="0" t="n">
        <f aca="false">_xlfn.CEILING.MATH(B10)</f>
        <v>9</v>
      </c>
      <c r="D10" s="7" t="n">
        <v>0.06</v>
      </c>
      <c r="E10" s="8" t="n">
        <f aca="false">$P$13</f>
        <v>1768</v>
      </c>
      <c r="F10" s="8" t="n">
        <f aca="false">E10</f>
        <v>1768</v>
      </c>
      <c r="G10" s="0" t="s">
        <v>37</v>
      </c>
      <c r="N10" s="3" t="s">
        <v>38</v>
      </c>
      <c r="O10" s="2" t="s">
        <v>14</v>
      </c>
      <c r="P10" s="6" t="n">
        <f aca="false">_xlfn.CEILING.MATH(P$4*Q10)</f>
        <v>7</v>
      </c>
      <c r="Q10" s="4" t="n">
        <v>0.026</v>
      </c>
    </row>
    <row r="11" customFormat="false" ht="12.8" hidden="false" customHeight="false" outlineLevel="0" collapsed="false">
      <c r="A11" s="1" t="n">
        <v>2</v>
      </c>
      <c r="B11" s="0" t="n">
        <f aca="false">_xlfn.CEILING.MATH(($B$5*I3+$B$6*J3)/(E11*K3))</f>
        <v>11</v>
      </c>
      <c r="C11" s="0" t="n">
        <f aca="false">_xlfn.CEILING.MATH(B11)</f>
        <v>11</v>
      </c>
      <c r="D11" s="7" t="n">
        <v>0.06</v>
      </c>
      <c r="E11" s="8" t="n">
        <f aca="false">$P$13</f>
        <v>1768</v>
      </c>
      <c r="F11" s="8" t="n">
        <f aca="false">E11</f>
        <v>1768</v>
      </c>
      <c r="G11" s="0" t="s">
        <v>37</v>
      </c>
      <c r="N11" s="3" t="s">
        <v>39</v>
      </c>
      <c r="O11" s="2" t="s">
        <v>14</v>
      </c>
      <c r="P11" s="6" t="n">
        <f aca="false">_xlfn.CEILING.MATH(P4-P5)</f>
        <v>221</v>
      </c>
      <c r="Q11" s="4" t="n">
        <v>1</v>
      </c>
    </row>
    <row r="12" customFormat="false" ht="12.65" hidden="false" customHeight="true" outlineLevel="0" collapsed="false">
      <c r="A12" s="1" t="n">
        <v>3</v>
      </c>
      <c r="B12" s="0" t="n">
        <f aca="false">_xlfn.CEILING.MATH(($B$5*I4+$B$6*J4)/(E12*K4))</f>
        <v>20</v>
      </c>
      <c r="C12" s="0" t="n">
        <f aca="false">_xlfn.CEILING.MATH(B12)</f>
        <v>20</v>
      </c>
      <c r="D12" s="7" t="n">
        <v>0</v>
      </c>
      <c r="E12" s="8" t="n">
        <f aca="false">$P$13</f>
        <v>1768</v>
      </c>
      <c r="F12" s="8" t="n">
        <f aca="false">E12</f>
        <v>1768</v>
      </c>
      <c r="G12" s="0" t="s">
        <v>37</v>
      </c>
      <c r="N12" s="3" t="s">
        <v>40</v>
      </c>
      <c r="O12" s="2" t="s">
        <v>41</v>
      </c>
      <c r="P12" s="6" t="n">
        <v>8</v>
      </c>
      <c r="Q12" s="4" t="n">
        <v>1</v>
      </c>
    </row>
    <row r="13" customFormat="false" ht="12.8" hidden="false" customHeight="false" outlineLevel="0" collapsed="false">
      <c r="A13" s="1" t="n">
        <v>4</v>
      </c>
      <c r="B13" s="0" t="n">
        <f aca="false">_xlfn.CEILING.MATH(($B$5*I5+$B$6*J5)/(E13*K5))</f>
        <v>32</v>
      </c>
      <c r="C13" s="0" t="n">
        <f aca="false">_xlfn.CEILING.MATH(B13)</f>
        <v>32</v>
      </c>
      <c r="D13" s="7" t="n">
        <v>0</v>
      </c>
      <c r="E13" s="8" t="n">
        <f aca="false">$P$13</f>
        <v>1768</v>
      </c>
      <c r="F13" s="8" t="n">
        <f aca="false">E13</f>
        <v>1768</v>
      </c>
      <c r="G13" s="0" t="s">
        <v>37</v>
      </c>
      <c r="N13" s="3" t="s">
        <v>42</v>
      </c>
      <c r="O13" s="2" t="s">
        <v>41</v>
      </c>
      <c r="P13" s="6" t="n">
        <f aca="false">P11*P12</f>
        <v>1768</v>
      </c>
      <c r="Q13" s="4" t="n">
        <v>1</v>
      </c>
    </row>
    <row r="14" customFormat="false" ht="12.8" hidden="false" customHeight="false" outlineLevel="0" collapsed="false">
      <c r="A14" s="1" t="n">
        <v>5</v>
      </c>
      <c r="B14" s="0" t="n">
        <f aca="false">_xlfn.CEILING.MATH(($B$5*I6+$B$6*J6)/(E14*L6))</f>
        <v>5</v>
      </c>
      <c r="C14" s="0" t="n">
        <f aca="false">_xlfn.CEILING.MATH(B14)</f>
        <v>5</v>
      </c>
      <c r="D14" s="7" t="n">
        <v>0</v>
      </c>
      <c r="E14" s="8" t="n">
        <f aca="false">$P$13</f>
        <v>1768</v>
      </c>
      <c r="F14" s="8" t="n">
        <f aca="false">E14</f>
        <v>1768</v>
      </c>
      <c r="G14" s="9" t="n">
        <f aca="false">(($B$5*I6+$B$6*J6)*L6)/(F14)</f>
        <v>1.13122171945701</v>
      </c>
      <c r="H14" s="0" t="n">
        <v>3</v>
      </c>
    </row>
    <row r="15" customFormat="false" ht="12.8" hidden="false" customHeight="false" outlineLevel="0" collapsed="false">
      <c r="A15" s="3" t="s">
        <v>43</v>
      </c>
      <c r="C15" s="0" t="n">
        <f aca="false">SUM(C10:C14)</f>
        <v>77</v>
      </c>
      <c r="N15" s="1" t="s">
        <v>44</v>
      </c>
      <c r="O15" s="3" t="s">
        <v>45</v>
      </c>
      <c r="P15" s="3" t="s">
        <v>46</v>
      </c>
      <c r="Q15" s="3" t="s">
        <v>9</v>
      </c>
    </row>
    <row r="16" customFormat="false" ht="12.8" hidden="false" customHeight="false" outlineLevel="0" collapsed="false">
      <c r="N16" s="3" t="s">
        <v>47</v>
      </c>
      <c r="O16" s="2" t="n">
        <v>0.03</v>
      </c>
      <c r="P16" s="2" t="n">
        <v>5</v>
      </c>
      <c r="Q16" s="2" t="n">
        <f aca="false">_xlfn.CEILING.MATH(C$15*O16)</f>
        <v>3</v>
      </c>
      <c r="R16" s="2"/>
    </row>
    <row r="17" customFormat="false" ht="12.8" hidden="false" customHeight="false" outlineLevel="0" collapsed="false">
      <c r="B17" s="3" t="s">
        <v>9</v>
      </c>
      <c r="C17" s="3" t="s">
        <v>48</v>
      </c>
      <c r="N17" s="3" t="s">
        <v>49</v>
      </c>
      <c r="O17" s="2" t="n">
        <v>0.01</v>
      </c>
      <c r="P17" s="2" t="n">
        <v>4</v>
      </c>
      <c r="Q17" s="2" t="n">
        <f aca="false">_xlfn.CEILING.MATH(C$15*O17)+1</f>
        <v>2</v>
      </c>
      <c r="R17" s="2"/>
    </row>
    <row r="18" customFormat="false" ht="12.8" hidden="false" customHeight="false" outlineLevel="0" collapsed="false">
      <c r="A18" s="3" t="s">
        <v>50</v>
      </c>
      <c r="B18" s="0" t="n">
        <f aca="false">C15+Q23</f>
        <v>92</v>
      </c>
      <c r="C18" s="0" t="n">
        <f aca="false">_xlfn.CEILING.MATH(B18)</f>
        <v>92</v>
      </c>
      <c r="N18" s="3" t="s">
        <v>51</v>
      </c>
      <c r="O18" s="2" t="n">
        <v>0.015</v>
      </c>
      <c r="P18" s="2" t="n">
        <v>5</v>
      </c>
      <c r="Q18" s="2" t="n">
        <f aca="false">_xlfn.CEILING.MATH(C$15*O18)</f>
        <v>2</v>
      </c>
      <c r="R18" s="2"/>
    </row>
    <row r="19" customFormat="false" ht="12.8" hidden="false" customHeight="false" outlineLevel="0" collapsed="false">
      <c r="A19" s="3" t="s">
        <v>52</v>
      </c>
      <c r="B19" s="0" t="n">
        <f aca="false">_xlfn.CEILING.MATH(B$18*8%)</f>
        <v>8</v>
      </c>
      <c r="C19" s="0" t="n">
        <f aca="false">_xlfn.CEILING.MATH(B19)</f>
        <v>8</v>
      </c>
      <c r="J19" s="7"/>
      <c r="N19" s="3" t="s">
        <v>53</v>
      </c>
      <c r="O19" s="2" t="n">
        <v>0.02</v>
      </c>
      <c r="P19" s="2" t="n">
        <v>4</v>
      </c>
      <c r="Q19" s="2" t="n">
        <f aca="false">_xlfn.CEILING.MATH(C$15*O19)</f>
        <v>2</v>
      </c>
      <c r="R19" s="2"/>
    </row>
    <row r="20" customFormat="false" ht="12.8" hidden="false" customHeight="false" outlineLevel="0" collapsed="false">
      <c r="A20" s="3" t="s">
        <v>54</v>
      </c>
      <c r="B20" s="0" t="n">
        <f aca="false">_xlfn.CEILING.MATH(B$18*11%)</f>
        <v>11</v>
      </c>
      <c r="C20" s="0" t="n">
        <f aca="false">_xlfn.CEILING.MATH(B20)</f>
        <v>11</v>
      </c>
      <c r="N20" s="3" t="s">
        <v>55</v>
      </c>
      <c r="O20" s="2" t="n">
        <v>0.02</v>
      </c>
      <c r="P20" s="2" t="n">
        <v>3</v>
      </c>
      <c r="Q20" s="2" t="n">
        <f aca="false">_xlfn.CEILING.MATH(C$15*O20)</f>
        <v>2</v>
      </c>
      <c r="R20" s="2"/>
    </row>
    <row r="21" customFormat="false" ht="12.8" hidden="false" customHeight="false" outlineLevel="0" collapsed="false">
      <c r="A21" s="3" t="s">
        <v>56</v>
      </c>
      <c r="B21" s="0" t="n">
        <f aca="false">_xlfn.CEILING.MATH(SUM(C18:C20)*2%)</f>
        <v>3</v>
      </c>
      <c r="C21" s="0" t="n">
        <f aca="false">_xlfn.CEILING.MATH(B21)</f>
        <v>3</v>
      </c>
      <c r="N21" s="3" t="s">
        <v>57</v>
      </c>
      <c r="O21" s="2" t="n">
        <v>0.014</v>
      </c>
      <c r="P21" s="2" t="n">
        <v>3</v>
      </c>
      <c r="Q21" s="2" t="n">
        <f aca="false">_xlfn.CEILING.MATH(C$15*O21)</f>
        <v>2</v>
      </c>
      <c r="R21" s="2"/>
    </row>
    <row r="22" customFormat="false" ht="12.8" hidden="false" customHeight="false" outlineLevel="0" collapsed="false">
      <c r="A22" s="3" t="s">
        <v>43</v>
      </c>
      <c r="C22" s="0" t="n">
        <f aca="false">SUM(C18:C21)</f>
        <v>114</v>
      </c>
      <c r="N22" s="3" t="s">
        <v>58</v>
      </c>
      <c r="O22" s="2" t="n">
        <v>0.012</v>
      </c>
      <c r="P22" s="2" t="n">
        <v>3</v>
      </c>
      <c r="Q22" s="2" t="n">
        <f aca="false">_xlfn.CEILING.MATH(C$15*O22)+1</f>
        <v>2</v>
      </c>
      <c r="R22" s="2"/>
    </row>
    <row r="23" customFormat="false" ht="12.8" hidden="false" customHeight="false" outlineLevel="0" collapsed="false">
      <c r="N23" s="3" t="s">
        <v>43</v>
      </c>
      <c r="Q23" s="2" t="n">
        <f aca="false">SUM(Q16:Q22)</f>
        <v>15</v>
      </c>
    </row>
    <row r="24" customFormat="false" ht="12.8" hidden="false" customHeight="false" outlineLevel="0" collapsed="false">
      <c r="L24" s="3" t="s">
        <v>59</v>
      </c>
    </row>
    <row r="25" customFormat="false" ht="12.8" hidden="false" customHeight="false" outlineLevel="0" collapsed="false">
      <c r="K25" s="3" t="s">
        <v>60</v>
      </c>
      <c r="L25" s="9" t="n">
        <f aca="false">D1/175</f>
        <v>128.228571428571</v>
      </c>
    </row>
    <row r="26" customFormat="false" ht="12.8" hidden="false" customHeight="false" outlineLevel="0" collapsed="false">
      <c r="N26" s="3" t="s">
        <v>61</v>
      </c>
      <c r="O26" s="3" t="n">
        <v>1</v>
      </c>
      <c r="P26" s="3" t="n">
        <v>2</v>
      </c>
      <c r="Q26" s="3" t="n">
        <v>3</v>
      </c>
      <c r="R26" s="3" t="n">
        <v>4</v>
      </c>
      <c r="S26" s="3" t="n">
        <v>5</v>
      </c>
      <c r="T26" s="3" t="n">
        <v>6</v>
      </c>
      <c r="U26" s="3" t="n">
        <v>7</v>
      </c>
      <c r="V26" s="3" t="n">
        <v>8</v>
      </c>
    </row>
    <row r="27" customFormat="false" ht="12.8" hidden="false" customHeight="false" outlineLevel="0" collapsed="false">
      <c r="N27" s="3" t="s">
        <v>62</v>
      </c>
      <c r="O27" s="2" t="n">
        <v>1</v>
      </c>
      <c r="P27" s="2" t="n">
        <v>1.24</v>
      </c>
      <c r="Q27" s="2" t="n">
        <v>1.45</v>
      </c>
      <c r="R27" s="2" t="n">
        <v>1.62</v>
      </c>
      <c r="S27" s="2" t="n">
        <v>1.76</v>
      </c>
      <c r="T27" s="2" t="n">
        <v>1.9</v>
      </c>
      <c r="U27" s="2" t="n">
        <v>2.15</v>
      </c>
      <c r="V27" s="2" t="n">
        <v>2.39</v>
      </c>
    </row>
    <row r="28" customFormat="false" ht="12.8" hidden="false" customHeight="false" outlineLevel="0" collapsed="false">
      <c r="N28" s="3" t="s">
        <v>63</v>
      </c>
      <c r="O28" s="10" t="n">
        <f aca="false">$L$25*O27</f>
        <v>128.228571428571</v>
      </c>
      <c r="P28" s="10" t="n">
        <f aca="false">$L$25*P27</f>
        <v>159.003428571429</v>
      </c>
      <c r="Q28" s="10" t="n">
        <f aca="false">$L$25*Q27</f>
        <v>185.931428571429</v>
      </c>
      <c r="R28" s="10" t="n">
        <f aca="false">$L$25*R27</f>
        <v>207.730285714286</v>
      </c>
      <c r="S28" s="10" t="n">
        <f aca="false">$L$25*S27</f>
        <v>225.682285714286</v>
      </c>
      <c r="T28" s="10" t="n">
        <f aca="false">$L$25*T27</f>
        <v>243.634285714286</v>
      </c>
      <c r="U28" s="10" t="n">
        <f aca="false">$L$25*U27</f>
        <v>275.691428571429</v>
      </c>
      <c r="V28" s="10" t="n">
        <f aca="false">$L$25*V27</f>
        <v>306.466285714286</v>
      </c>
    </row>
    <row r="31" customFormat="false" ht="12.8" hidden="false" customHeight="false" outlineLevel="0" collapsed="false">
      <c r="N31" s="11" t="s">
        <v>64</v>
      </c>
      <c r="O31" s="3" t="s">
        <v>65</v>
      </c>
      <c r="P31" s="3" t="s">
        <v>66</v>
      </c>
      <c r="Q31" s="3" t="s">
        <v>67</v>
      </c>
    </row>
    <row r="32" customFormat="false" ht="12.8" hidden="false" customHeight="false" outlineLevel="0" collapsed="false">
      <c r="N32" s="12" t="s">
        <v>68</v>
      </c>
      <c r="O32" s="2" t="n">
        <f aca="false">C15</f>
        <v>77</v>
      </c>
      <c r="P32" s="2"/>
      <c r="Q32" s="2"/>
    </row>
    <row r="33" customFormat="false" ht="12.8" hidden="false" customHeight="false" outlineLevel="0" collapsed="false">
      <c r="N33" s="3" t="s">
        <v>69</v>
      </c>
      <c r="O33" s="2" t="n">
        <f aca="false">C10</f>
        <v>9</v>
      </c>
      <c r="P33" s="2" t="n">
        <v>4</v>
      </c>
      <c r="Q33" s="10" t="n">
        <f aca="false">$R$28</f>
        <v>207.730285714286</v>
      </c>
    </row>
    <row r="34" customFormat="false" ht="12.8" hidden="false" customHeight="false" outlineLevel="0" collapsed="false">
      <c r="N34" s="3" t="s">
        <v>70</v>
      </c>
      <c r="O34" s="2" t="n">
        <f aca="false">C11</f>
        <v>11</v>
      </c>
      <c r="P34" s="2" t="n">
        <v>4</v>
      </c>
      <c r="Q34" s="10" t="n">
        <f aca="false">$R$28</f>
        <v>207.730285714286</v>
      </c>
    </row>
    <row r="35" customFormat="false" ht="12.8" hidden="false" customHeight="false" outlineLevel="0" collapsed="false">
      <c r="N35" s="3" t="s">
        <v>71</v>
      </c>
      <c r="O35" s="2" t="n">
        <f aca="false">C12</f>
        <v>20</v>
      </c>
      <c r="P35" s="2" t="n">
        <v>3</v>
      </c>
      <c r="Q35" s="10" t="n">
        <f aca="false">$Q$28</f>
        <v>185.931428571429</v>
      </c>
    </row>
    <row r="36" customFormat="false" ht="12.8" hidden="false" customHeight="false" outlineLevel="0" collapsed="false">
      <c r="N36" s="3" t="s">
        <v>72</v>
      </c>
      <c r="O36" s="2" t="n">
        <f aca="false">C13</f>
        <v>32</v>
      </c>
      <c r="P36" s="2" t="n">
        <v>5</v>
      </c>
      <c r="Q36" s="10" t="n">
        <f aca="false">$S$28</f>
        <v>225.682285714286</v>
      </c>
    </row>
    <row r="37" customFormat="false" ht="12.8" hidden="false" customHeight="false" outlineLevel="0" collapsed="false">
      <c r="N37" s="3" t="s">
        <v>73</v>
      </c>
      <c r="O37" s="2" t="n">
        <f aca="false">C14</f>
        <v>5</v>
      </c>
      <c r="P37" s="2" t="n">
        <v>3</v>
      </c>
      <c r="Q37" s="10" t="n">
        <f aca="false">$Q$28</f>
        <v>185.931428571429</v>
      </c>
    </row>
    <row r="38" customFormat="false" ht="12.8" hidden="false" customHeight="false" outlineLevel="0" collapsed="false">
      <c r="N38" s="12" t="s">
        <v>74</v>
      </c>
      <c r="O38" s="2"/>
      <c r="P38" s="2"/>
      <c r="Q38" s="10"/>
    </row>
    <row r="39" customFormat="false" ht="12.8" hidden="false" customHeight="false" outlineLevel="0" collapsed="false">
      <c r="N39" s="3" t="s">
        <v>47</v>
      </c>
      <c r="O39" s="2" t="n">
        <f aca="false">Q16</f>
        <v>3</v>
      </c>
      <c r="P39" s="2" t="n">
        <v>5</v>
      </c>
      <c r="Q39" s="10" t="n">
        <f aca="false">$S$28</f>
        <v>225.682285714286</v>
      </c>
    </row>
    <row r="40" customFormat="false" ht="12.8" hidden="false" customHeight="false" outlineLevel="0" collapsed="false">
      <c r="N40" s="3" t="s">
        <v>49</v>
      </c>
      <c r="O40" s="2" t="n">
        <f aca="false">Q17</f>
        <v>2</v>
      </c>
      <c r="P40" s="2" t="n">
        <v>4</v>
      </c>
      <c r="Q40" s="10" t="n">
        <f aca="false">$R$28</f>
        <v>207.730285714286</v>
      </c>
    </row>
    <row r="41" customFormat="false" ht="12.8" hidden="false" customHeight="false" outlineLevel="0" collapsed="false">
      <c r="N41" s="3" t="s">
        <v>51</v>
      </c>
      <c r="O41" s="2" t="n">
        <f aca="false">Q18</f>
        <v>2</v>
      </c>
      <c r="P41" s="2" t="n">
        <v>5</v>
      </c>
      <c r="Q41" s="10" t="n">
        <f aca="false">$S$28</f>
        <v>225.682285714286</v>
      </c>
    </row>
    <row r="42" customFormat="false" ht="12.8" hidden="false" customHeight="false" outlineLevel="0" collapsed="false">
      <c r="N42" s="3" t="s">
        <v>53</v>
      </c>
      <c r="O42" s="2" t="n">
        <f aca="false">Q19</f>
        <v>2</v>
      </c>
      <c r="P42" s="2" t="n">
        <v>4</v>
      </c>
      <c r="Q42" s="10" t="n">
        <f aca="false">$R$28</f>
        <v>207.730285714286</v>
      </c>
    </row>
    <row r="43" customFormat="false" ht="12.8" hidden="false" customHeight="false" outlineLevel="0" collapsed="false">
      <c r="N43" s="3" t="s">
        <v>55</v>
      </c>
      <c r="O43" s="2" t="n">
        <f aca="false">Q20</f>
        <v>2</v>
      </c>
      <c r="P43" s="2" t="n">
        <v>3</v>
      </c>
      <c r="Q43" s="10" t="n">
        <f aca="false">$Q$28</f>
        <v>185.931428571429</v>
      </c>
    </row>
    <row r="44" customFormat="false" ht="12.8" hidden="false" customHeight="false" outlineLevel="0" collapsed="false">
      <c r="N44" s="3" t="s">
        <v>57</v>
      </c>
      <c r="O44" s="2" t="n">
        <f aca="false">Q21</f>
        <v>2</v>
      </c>
      <c r="P44" s="2" t="n">
        <v>3</v>
      </c>
      <c r="Q44" s="10" t="n">
        <f aca="false">$Q$28</f>
        <v>185.931428571429</v>
      </c>
    </row>
    <row r="45" customFormat="false" ht="12.8" hidden="false" customHeight="false" outlineLevel="0" collapsed="false">
      <c r="N45" s="3" t="s">
        <v>58</v>
      </c>
      <c r="O45" s="2" t="n">
        <f aca="false">Q22</f>
        <v>2</v>
      </c>
      <c r="P45" s="2" t="n">
        <v>3</v>
      </c>
      <c r="Q45" s="10" t="n">
        <f aca="false">$Q$28</f>
        <v>185.931428571429</v>
      </c>
    </row>
    <row r="47" customFormat="false" ht="12.8" hidden="false" customHeight="false" outlineLevel="0" collapsed="false">
      <c r="N47" s="13" t="s">
        <v>75</v>
      </c>
      <c r="O47" s="1" t="s">
        <v>46</v>
      </c>
      <c r="P47" s="1" t="s">
        <v>76</v>
      </c>
      <c r="Q47" s="1" t="s">
        <v>77</v>
      </c>
      <c r="R47" s="3" t="s">
        <v>67</v>
      </c>
      <c r="S47" s="1" t="s">
        <v>78</v>
      </c>
      <c r="T47" s="1" t="s">
        <v>79</v>
      </c>
      <c r="U47" s="1" t="s">
        <v>80</v>
      </c>
      <c r="V47" s="1" t="s">
        <v>81</v>
      </c>
      <c r="W47" s="1" t="s">
        <v>82</v>
      </c>
    </row>
    <row r="48" customFormat="false" ht="12.8" hidden="false" customHeight="false" outlineLevel="0" collapsed="false">
      <c r="K48" s="1" t="s">
        <v>83</v>
      </c>
      <c r="L48" s="2" t="n">
        <v>1.25</v>
      </c>
      <c r="N48" s="3" t="s">
        <v>84</v>
      </c>
      <c r="O48" s="2" t="n">
        <f aca="false">H2</f>
        <v>4</v>
      </c>
      <c r="P48" s="10"/>
      <c r="Q48" s="10"/>
      <c r="R48" s="10" t="n">
        <f aca="false">Q33</f>
        <v>207.730285714286</v>
      </c>
      <c r="S48" s="10"/>
      <c r="T48" s="10"/>
      <c r="U48" s="10"/>
      <c r="V48" s="10"/>
      <c r="W48" s="10"/>
      <c r="X48" s="9"/>
    </row>
    <row r="49" customFormat="false" ht="12.8" hidden="false" customHeight="false" outlineLevel="0" collapsed="false">
      <c r="N49" s="3" t="s">
        <v>85</v>
      </c>
      <c r="O49" s="2"/>
      <c r="P49" s="10" t="n">
        <f aca="false">I2</f>
        <v>1.8</v>
      </c>
      <c r="Q49" s="10" t="n">
        <f aca="false">P49*O33</f>
        <v>16.2</v>
      </c>
      <c r="R49" s="10"/>
      <c r="S49" s="10" t="n">
        <f aca="false">B5*I2*R48*L48</f>
        <v>2336965.71428571</v>
      </c>
      <c r="T49" s="10" t="n">
        <f aca="false">35%*S49</f>
        <v>817938</v>
      </c>
      <c r="U49" s="10" t="n">
        <f aca="false">SUM(S49:T49)</f>
        <v>3154903.71428571</v>
      </c>
      <c r="V49" s="10" t="n">
        <f aca="false">$B$2*U49</f>
        <v>315490.371428571</v>
      </c>
      <c r="W49" s="10" t="n">
        <f aca="false">SUM(U49:V49)</f>
        <v>3470394.08571429</v>
      </c>
      <c r="X49" s="9"/>
    </row>
    <row r="50" customFormat="false" ht="12.8" hidden="false" customHeight="false" outlineLevel="0" collapsed="false">
      <c r="N50" s="3" t="s">
        <v>86</v>
      </c>
      <c r="O50" s="2"/>
      <c r="P50" s="10" t="n">
        <f aca="false">J2</f>
        <v>2.5</v>
      </c>
      <c r="Q50" s="10" t="n">
        <f aca="false">P50*O33</f>
        <v>22.5</v>
      </c>
      <c r="R50" s="10"/>
      <c r="S50" s="10" t="n">
        <f aca="false">B6*J2*R48*L48</f>
        <v>1622892.85714286</v>
      </c>
      <c r="T50" s="10" t="n">
        <f aca="false">35%*S50</f>
        <v>568012.5</v>
      </c>
      <c r="U50" s="10" t="n">
        <f aca="false">SUM(S50:T50)</f>
        <v>2190905.35714286</v>
      </c>
      <c r="V50" s="10" t="n">
        <f aca="false">$B$2*U50</f>
        <v>219090.535714286</v>
      </c>
      <c r="W50" s="10" t="n">
        <f aca="false">SUM(U50:V50)</f>
        <v>2409995.89285714</v>
      </c>
      <c r="X50" s="9"/>
    </row>
    <row r="51" customFormat="false" ht="12.8" hidden="false" customHeight="false" outlineLevel="0" collapsed="false">
      <c r="N51" s="3" t="s">
        <v>87</v>
      </c>
      <c r="O51" s="2" t="n">
        <f aca="false">H2</f>
        <v>4</v>
      </c>
      <c r="P51" s="10"/>
      <c r="Q51" s="10"/>
      <c r="R51" s="10" t="n">
        <f aca="false">Q34</f>
        <v>207.730285714286</v>
      </c>
      <c r="S51" s="10"/>
      <c r="T51" s="10"/>
      <c r="U51" s="10"/>
      <c r="V51" s="10"/>
      <c r="W51" s="10"/>
      <c r="X51" s="9"/>
    </row>
    <row r="52" customFormat="false" ht="12.8" hidden="false" customHeight="false" outlineLevel="0" collapsed="false">
      <c r="N52" s="3" t="s">
        <v>85</v>
      </c>
      <c r="O52" s="2"/>
      <c r="P52" s="10" t="n">
        <f aca="false">I3</f>
        <v>2.4</v>
      </c>
      <c r="Q52" s="10" t="n">
        <f aca="false">P52*O34</f>
        <v>26.4</v>
      </c>
      <c r="R52" s="10"/>
      <c r="S52" s="10" t="n">
        <f aca="false">B5*I3*R51*L48</f>
        <v>3115954.28571429</v>
      </c>
      <c r="T52" s="10" t="n">
        <f aca="false">35%*S52</f>
        <v>1090584</v>
      </c>
      <c r="U52" s="10" t="n">
        <f aca="false">SUM(S52:T52)</f>
        <v>4206538.28571429</v>
      </c>
      <c r="V52" s="10" t="n">
        <f aca="false">$B$2*U52</f>
        <v>420653.828571429</v>
      </c>
      <c r="W52" s="10" t="n">
        <f aca="false">SUM(U52:V52)</f>
        <v>4627192.11428571</v>
      </c>
      <c r="X52" s="9"/>
    </row>
    <row r="53" customFormat="false" ht="12.8" hidden="false" customHeight="false" outlineLevel="0" collapsed="false">
      <c r="N53" s="3" t="s">
        <v>86</v>
      </c>
      <c r="O53" s="2"/>
      <c r="P53" s="10" t="n">
        <f aca="false">J3</f>
        <v>2.9</v>
      </c>
      <c r="Q53" s="10" t="n">
        <f aca="false">P53*O34</f>
        <v>31.9</v>
      </c>
      <c r="R53" s="10"/>
      <c r="S53" s="10" t="n">
        <f aca="false">B6*J3*R51*L48</f>
        <v>1882555.71428571</v>
      </c>
      <c r="T53" s="10" t="n">
        <f aca="false">35%*S53</f>
        <v>658894.5</v>
      </c>
      <c r="U53" s="10" t="n">
        <f aca="false">SUM(S53:T53)</f>
        <v>2541450.21428571</v>
      </c>
      <c r="V53" s="10" t="n">
        <f aca="false">$B$2*U53</f>
        <v>254145.021428571</v>
      </c>
      <c r="W53" s="10" t="n">
        <f aca="false">SUM(U53:V53)</f>
        <v>2795595.23571429</v>
      </c>
      <c r="X53" s="9"/>
    </row>
    <row r="54" customFormat="false" ht="12.8" hidden="false" customHeight="false" outlineLevel="0" collapsed="false">
      <c r="N54" s="3" t="s">
        <v>88</v>
      </c>
      <c r="O54" s="2" t="n">
        <f aca="false">H4</f>
        <v>3</v>
      </c>
      <c r="P54" s="10"/>
      <c r="Q54" s="10"/>
      <c r="R54" s="10" t="n">
        <f aca="false">Q35</f>
        <v>185.931428571429</v>
      </c>
      <c r="S54" s="10"/>
      <c r="T54" s="10"/>
      <c r="U54" s="10"/>
      <c r="V54" s="10"/>
      <c r="W54" s="10"/>
      <c r="X54" s="9"/>
    </row>
    <row r="55" customFormat="false" ht="12.8" hidden="false" customHeight="false" outlineLevel="0" collapsed="false">
      <c r="N55" s="3" t="s">
        <v>85</v>
      </c>
      <c r="O55" s="2"/>
      <c r="P55" s="10" t="n">
        <f aca="false">I4</f>
        <v>4.3</v>
      </c>
      <c r="Q55" s="10" t="n">
        <f aca="false">P55*O35</f>
        <v>86</v>
      </c>
      <c r="R55" s="10"/>
      <c r="S55" s="10" t="n">
        <f aca="false">B5*I4*R54*L48</f>
        <v>4996907.14285714</v>
      </c>
      <c r="T55" s="10" t="n">
        <f aca="false">35%*S55</f>
        <v>1748917.5</v>
      </c>
      <c r="U55" s="10" t="n">
        <f aca="false">SUM(S55:T55)</f>
        <v>6745824.64285714</v>
      </c>
      <c r="V55" s="10" t="n">
        <f aca="false">$B$2*U55</f>
        <v>674582.464285714</v>
      </c>
      <c r="W55" s="10" t="n">
        <f aca="false">SUM(U55:V55)</f>
        <v>7420407.10714286</v>
      </c>
      <c r="X55" s="9"/>
    </row>
    <row r="56" customFormat="false" ht="12.8" hidden="false" customHeight="false" outlineLevel="0" collapsed="false">
      <c r="N56" s="3" t="s">
        <v>86</v>
      </c>
      <c r="O56" s="2"/>
      <c r="P56" s="10" t="n">
        <f aca="false">J4</f>
        <v>5</v>
      </c>
      <c r="Q56" s="10" t="n">
        <f aca="false">P56*O35</f>
        <v>100</v>
      </c>
      <c r="R56" s="10"/>
      <c r="S56" s="10" t="n">
        <f aca="false">B6*J4*R54*L48</f>
        <v>2905178.57142857</v>
      </c>
      <c r="T56" s="10" t="n">
        <f aca="false">35%*S56</f>
        <v>1016812.5</v>
      </c>
      <c r="U56" s="10" t="n">
        <f aca="false">SUM(S56:T56)</f>
        <v>3921991.07142857</v>
      </c>
      <c r="V56" s="10" t="n">
        <f aca="false">$B$2*U56</f>
        <v>392199.107142857</v>
      </c>
      <c r="W56" s="10" t="n">
        <f aca="false">SUM(U56:V56)</f>
        <v>4314190.17857143</v>
      </c>
      <c r="X56" s="9"/>
    </row>
    <row r="57" customFormat="false" ht="12.8" hidden="false" customHeight="false" outlineLevel="0" collapsed="false">
      <c r="N57" s="3" t="s">
        <v>89</v>
      </c>
      <c r="O57" s="2" t="n">
        <f aca="false">H5</f>
        <v>5</v>
      </c>
      <c r="P57" s="10"/>
      <c r="Q57" s="10"/>
      <c r="R57" s="10" t="n">
        <f aca="false">Q36</f>
        <v>225.682285714286</v>
      </c>
      <c r="S57" s="10"/>
      <c r="T57" s="10"/>
      <c r="U57" s="10"/>
      <c r="V57" s="10"/>
      <c r="W57" s="10"/>
      <c r="X57" s="9"/>
    </row>
    <row r="58" customFormat="false" ht="12.8" hidden="false" customHeight="false" outlineLevel="0" collapsed="false">
      <c r="N58" s="3" t="s">
        <v>85</v>
      </c>
      <c r="O58" s="2"/>
      <c r="P58" s="10" t="n">
        <f aca="false">I5</f>
        <v>6.5</v>
      </c>
      <c r="Q58" s="10" t="n">
        <f aca="false">P58*O36</f>
        <v>208</v>
      </c>
      <c r="R58" s="10"/>
      <c r="S58" s="10" t="n">
        <f aca="false">B5*I5*R57*L48</f>
        <v>9168342.85714286</v>
      </c>
      <c r="T58" s="10" t="n">
        <f aca="false">35%*S58</f>
        <v>3208920</v>
      </c>
      <c r="U58" s="10" t="n">
        <f aca="false">SUM(S58:T58)</f>
        <v>12377262.8571429</v>
      </c>
      <c r="V58" s="10" t="n">
        <f aca="false">$B$2*U58</f>
        <v>1237726.28571429</v>
      </c>
      <c r="W58" s="10" t="n">
        <f aca="false">SUM(U58:V58)</f>
        <v>13614989.1428571</v>
      </c>
      <c r="X58" s="9"/>
    </row>
    <row r="59" customFormat="false" ht="12.8" hidden="false" customHeight="false" outlineLevel="0" collapsed="false">
      <c r="N59" s="3" t="s">
        <v>86</v>
      </c>
      <c r="O59" s="2"/>
      <c r="P59" s="10" t="n">
        <f aca="false">J5</f>
        <v>9.6</v>
      </c>
      <c r="Q59" s="10" t="n">
        <f aca="false">P59*O36</f>
        <v>307.2</v>
      </c>
      <c r="R59" s="10"/>
      <c r="S59" s="10" t="n">
        <f aca="false">B6*J5*R57*L48</f>
        <v>6770468.57142857</v>
      </c>
      <c r="T59" s="10" t="n">
        <f aca="false">35%*S59</f>
        <v>2369664</v>
      </c>
      <c r="U59" s="10" t="n">
        <f aca="false">SUM(S59:T59)</f>
        <v>9140132.57142857</v>
      </c>
      <c r="V59" s="10" t="n">
        <f aca="false">$B$2*U59</f>
        <v>914013.257142857</v>
      </c>
      <c r="W59" s="10" t="n">
        <f aca="false">SUM(U59:V59)</f>
        <v>10054145.8285714</v>
      </c>
      <c r="X59" s="9"/>
    </row>
    <row r="60" customFormat="false" ht="12.8" hidden="false" customHeight="false" outlineLevel="0" collapsed="false">
      <c r="N60" s="3" t="s">
        <v>90</v>
      </c>
      <c r="O60" s="2" t="n">
        <f aca="false">H4</f>
        <v>3</v>
      </c>
      <c r="P60" s="10"/>
      <c r="Q60" s="10"/>
      <c r="R60" s="10" t="n">
        <f aca="false">Q37</f>
        <v>185.931428571429</v>
      </c>
      <c r="S60" s="10"/>
      <c r="T60" s="10"/>
      <c r="U60" s="10"/>
      <c r="V60" s="10"/>
      <c r="W60" s="10"/>
      <c r="X60" s="9"/>
    </row>
    <row r="61" customFormat="false" ht="12.8" hidden="false" customHeight="false" outlineLevel="0" collapsed="false">
      <c r="N61" s="3" t="s">
        <v>85</v>
      </c>
      <c r="O61" s="2"/>
      <c r="P61" s="10" t="n">
        <f aca="false">I6</f>
        <v>0.5</v>
      </c>
      <c r="Q61" s="10" t="n">
        <f aca="false">P61*O37</f>
        <v>2.5</v>
      </c>
      <c r="R61" s="10"/>
      <c r="S61" s="10" t="n">
        <f aca="false">B5*I6*R60*L48</f>
        <v>581035.714285714</v>
      </c>
      <c r="T61" s="10" t="n">
        <f aca="false">35%*S61</f>
        <v>203362.5</v>
      </c>
      <c r="U61" s="10" t="n">
        <f aca="false">SUM(S61:T61)</f>
        <v>784398.214285714</v>
      </c>
      <c r="V61" s="10" t="n">
        <f aca="false">$B$2*U61</f>
        <v>78439.8214285714</v>
      </c>
      <c r="W61" s="10" t="n">
        <f aca="false">SUM(U61:V61)</f>
        <v>862838.035714286</v>
      </c>
      <c r="X61" s="9"/>
    </row>
    <row r="62" customFormat="false" ht="12.8" hidden="false" customHeight="false" outlineLevel="0" collapsed="false">
      <c r="N62" s="3" t="s">
        <v>86</v>
      </c>
      <c r="O62" s="2"/>
      <c r="P62" s="10" t="n">
        <f aca="false">J6</f>
        <v>0.6</v>
      </c>
      <c r="Q62" s="10" t="n">
        <f aca="false">P62*O37</f>
        <v>3</v>
      </c>
      <c r="R62" s="10"/>
      <c r="S62" s="10" t="n">
        <f aca="false">B6*J6*R60*L48</f>
        <v>348621.428571429</v>
      </c>
      <c r="T62" s="10" t="n">
        <f aca="false">35%*S62</f>
        <v>122017.5</v>
      </c>
      <c r="U62" s="10" t="n">
        <f aca="false">SUM(S62:T62)</f>
        <v>470638.928571429</v>
      </c>
      <c r="V62" s="10" t="n">
        <f aca="false">$B$2*U62</f>
        <v>47063.8928571429</v>
      </c>
      <c r="W62" s="10" t="n">
        <f aca="false">SUM(U62:V62)</f>
        <v>517702.821428571</v>
      </c>
      <c r="X62" s="9"/>
    </row>
    <row r="63" customFormat="false" ht="12.8" hidden="false" customHeight="false" outlineLevel="0" collapsed="false">
      <c r="N63" s="3" t="s">
        <v>43</v>
      </c>
      <c r="O63" s="2"/>
      <c r="P63" s="10"/>
      <c r="Q63" s="10"/>
      <c r="R63" s="10"/>
      <c r="S63" s="10" t="n">
        <f aca="false">S49+S52+S55+S58+S61</f>
        <v>20199205.7142857</v>
      </c>
      <c r="T63" s="10" t="n">
        <f aca="false">T49+T52+T55+T58+T61</f>
        <v>7069722</v>
      </c>
      <c r="U63" s="10" t="n">
        <f aca="false">U49+U52+U55+U58+U61</f>
        <v>27268927.7142857</v>
      </c>
      <c r="V63" s="10" t="n">
        <f aca="false">V49+V52+V55+V58+V61</f>
        <v>2726892.77142857</v>
      </c>
      <c r="W63" s="10" t="n">
        <f aca="false">W49+W52+W55+W58+W61</f>
        <v>29995820.4857143</v>
      </c>
      <c r="X63" s="9"/>
    </row>
    <row r="64" customFormat="false" ht="12.8" hidden="false" customHeight="false" outlineLevel="0" collapsed="false">
      <c r="N64" s="3" t="s">
        <v>85</v>
      </c>
      <c r="O64" s="2"/>
      <c r="P64" s="10"/>
      <c r="Q64" s="10"/>
      <c r="R64" s="10"/>
      <c r="S64" s="10" t="n">
        <f aca="false">S50+S53+S56+S59+S62</f>
        <v>13529717.1428571</v>
      </c>
      <c r="T64" s="10" t="n">
        <f aca="false">T50+T53+T56+T59+T62</f>
        <v>4735401</v>
      </c>
      <c r="U64" s="10" t="n">
        <f aca="false">U50+U53+U56+U59+U62</f>
        <v>18265118.1428571</v>
      </c>
      <c r="V64" s="10" t="n">
        <f aca="false">V50+V53+V56+V59+V62</f>
        <v>1826511.81428571</v>
      </c>
      <c r="W64" s="10" t="n">
        <f aca="false">W50+W53+W56+W59+W62</f>
        <v>20091629.9571429</v>
      </c>
      <c r="X64" s="9"/>
    </row>
    <row r="65" customFormat="false" ht="12.8" hidden="false" customHeight="false" outlineLevel="0" collapsed="false">
      <c r="N65" s="3" t="s">
        <v>86</v>
      </c>
      <c r="P65" s="9"/>
      <c r="Q65" s="9"/>
      <c r="R65" s="9"/>
      <c r="S65" s="9"/>
      <c r="T65" s="9"/>
      <c r="U65" s="9" t="n">
        <f aca="false">U63+U64</f>
        <v>45534045.8571429</v>
      </c>
      <c r="V65" s="9"/>
      <c r="W65" s="9" t="n">
        <f aca="false">SUM(W48:W64)</f>
        <v>100174900.885714</v>
      </c>
      <c r="X65" s="9"/>
    </row>
    <row r="66" customFormat="false" ht="12.8" hidden="false" customHeight="false" outlineLevel="0" collapsed="false">
      <c r="N66" s="3" t="s">
        <v>43</v>
      </c>
    </row>
    <row r="67" customFormat="false" ht="12.8" hidden="false" customHeight="false" outlineLevel="0" collapsed="false">
      <c r="N67" s="13" t="s">
        <v>91</v>
      </c>
      <c r="O67" s="1" t="s">
        <v>46</v>
      </c>
      <c r="P67" s="1" t="s">
        <v>92</v>
      </c>
      <c r="Q67" s="1" t="s">
        <v>93</v>
      </c>
      <c r="R67" s="1" t="s">
        <v>94</v>
      </c>
      <c r="S67" s="1"/>
      <c r="T67" s="1" t="s">
        <v>95</v>
      </c>
      <c r="U67" s="1" t="s">
        <v>79</v>
      </c>
      <c r="V67" s="1" t="s">
        <v>80</v>
      </c>
      <c r="W67" s="1" t="s">
        <v>81</v>
      </c>
      <c r="X67" s="1" t="s">
        <v>82</v>
      </c>
    </row>
    <row r="68" customFormat="false" ht="12.8" hidden="false" customHeight="false" outlineLevel="0" collapsed="false">
      <c r="N68" s="3"/>
      <c r="O68" s="2" t="n">
        <v>5</v>
      </c>
      <c r="P68" s="10" t="n">
        <f aca="false">Q39</f>
        <v>225.682285714286</v>
      </c>
      <c r="Q68" s="6" t="n">
        <f aca="false">P13</f>
        <v>1768</v>
      </c>
      <c r="R68" s="2" t="n">
        <f aca="false">O41+O39</f>
        <v>5</v>
      </c>
      <c r="S68" s="2"/>
      <c r="T68" s="10" t="n">
        <f aca="false">P68*Q68*R68*L48</f>
        <v>2493789.25714286</v>
      </c>
      <c r="U68" s="10" t="n">
        <f aca="false">35%*T68</f>
        <v>872826.24</v>
      </c>
      <c r="V68" s="10" t="n">
        <f aca="false">T68+U68</f>
        <v>3366615.49714286</v>
      </c>
      <c r="W68" s="10" t="n">
        <f aca="false">10%*V68</f>
        <v>336661.549714286</v>
      </c>
      <c r="X68" s="10" t="n">
        <f aca="false">V68+W68</f>
        <v>3703277.04685714</v>
      </c>
    </row>
    <row r="69" customFormat="false" ht="12.8" hidden="false" customHeight="false" outlineLevel="0" collapsed="false">
      <c r="N69" s="3"/>
      <c r="O69" s="2" t="n">
        <v>4</v>
      </c>
      <c r="P69" s="10" t="n">
        <f aca="false">Q40</f>
        <v>207.730285714286</v>
      </c>
      <c r="Q69" s="6" t="n">
        <f aca="false">P13</f>
        <v>1768</v>
      </c>
      <c r="R69" s="2" t="n">
        <f aca="false">O40+O42</f>
        <v>4</v>
      </c>
      <c r="S69" s="2"/>
      <c r="T69" s="10" t="n">
        <f aca="false">P69*Q69*R69*L48</f>
        <v>1836335.72571429</v>
      </c>
      <c r="U69" s="10" t="n">
        <f aca="false">35%*T69</f>
        <v>642717.504</v>
      </c>
      <c r="V69" s="10" t="n">
        <f aca="false">T69+U69</f>
        <v>2479053.22971429</v>
      </c>
      <c r="W69" s="10" t="n">
        <f aca="false">10%*V69</f>
        <v>247905.322971429</v>
      </c>
      <c r="X69" s="10" t="n">
        <f aca="false">V69+W69</f>
        <v>2726958.55268571</v>
      </c>
    </row>
    <row r="70" customFormat="false" ht="12.8" hidden="false" customHeight="false" outlineLevel="0" collapsed="false">
      <c r="N70" s="3"/>
      <c r="O70" s="2" t="n">
        <v>3</v>
      </c>
      <c r="P70" s="10" t="n">
        <f aca="false">Q43</f>
        <v>185.931428571429</v>
      </c>
      <c r="Q70" s="6" t="n">
        <f aca="false">P13</f>
        <v>1768</v>
      </c>
      <c r="R70" s="2" t="n">
        <f aca="false">SUM(O43:O45)</f>
        <v>6</v>
      </c>
      <c r="S70" s="2"/>
      <c r="T70" s="10" t="n">
        <f aca="false">P70*Q70*R70*L48</f>
        <v>2465450.74285714</v>
      </c>
      <c r="U70" s="10" t="n">
        <f aca="false">35%*T70</f>
        <v>862907.76</v>
      </c>
      <c r="V70" s="10" t="n">
        <f aca="false">T70+U70</f>
        <v>3328358.50285714</v>
      </c>
      <c r="W70" s="10" t="n">
        <f aca="false">10%*V70</f>
        <v>332835.850285714</v>
      </c>
      <c r="X70" s="10" t="n">
        <f aca="false">V70+W70</f>
        <v>3661194.35314286</v>
      </c>
    </row>
    <row r="71" customFormat="false" ht="12.8" hidden="false" customHeight="false" outlineLevel="0" collapsed="false">
      <c r="N71" s="3" t="s">
        <v>43</v>
      </c>
      <c r="X71" s="10" t="n">
        <f aca="false">SUM(X68:X70)</f>
        <v>10091429.9526857</v>
      </c>
    </row>
    <row r="73" customFormat="false" ht="35.05" hidden="false" customHeight="false" outlineLevel="0" collapsed="false">
      <c r="N73" s="11" t="s">
        <v>96</v>
      </c>
      <c r="O73" s="3" t="s">
        <v>97</v>
      </c>
      <c r="P73" s="3" t="s">
        <v>9</v>
      </c>
      <c r="Q73" s="3" t="s">
        <v>98</v>
      </c>
      <c r="R73" s="3" t="s">
        <v>79</v>
      </c>
      <c r="S73" s="3" t="s">
        <v>80</v>
      </c>
      <c r="T73" s="3" t="s">
        <v>81</v>
      </c>
      <c r="U73" s="3" t="s">
        <v>99</v>
      </c>
      <c r="V73" s="3" t="s">
        <v>82</v>
      </c>
      <c r="Z73" s="14" t="s">
        <v>100</v>
      </c>
      <c r="AA73" s="15" t="s">
        <v>101</v>
      </c>
      <c r="AB73" s="14" t="s">
        <v>102</v>
      </c>
      <c r="AC73" s="14" t="s">
        <v>103</v>
      </c>
      <c r="AD73" s="14" t="s">
        <v>104</v>
      </c>
      <c r="AE73" s="3" t="s">
        <v>105</v>
      </c>
      <c r="AF73" s="3" t="s">
        <v>106</v>
      </c>
      <c r="AG73" s="3" t="s">
        <v>107</v>
      </c>
      <c r="AH73" s="3" t="s">
        <v>108</v>
      </c>
      <c r="AI73" s="3" t="s">
        <v>109</v>
      </c>
    </row>
    <row r="74" customFormat="false" ht="12.8" hidden="false" customHeight="false" outlineLevel="0" collapsed="false">
      <c r="N74" s="3" t="s">
        <v>110</v>
      </c>
      <c r="O74" s="10" t="n">
        <f aca="false">D1*5.95*L48</f>
        <v>166897.5</v>
      </c>
      <c r="P74" s="2" t="n">
        <v>1</v>
      </c>
      <c r="Q74" s="2" t="s">
        <v>37</v>
      </c>
      <c r="R74" s="2" t="n">
        <f aca="false">O74*35%</f>
        <v>58414.125</v>
      </c>
      <c r="S74" s="2" t="n">
        <f aca="false">O74+R74</f>
        <v>225311.625</v>
      </c>
      <c r="T74" s="2" t="n">
        <f aca="false">10%*S74</f>
        <v>22531.1625</v>
      </c>
      <c r="U74" s="2" t="n">
        <f aca="false">S74+T74</f>
        <v>247842.7875</v>
      </c>
      <c r="V74" s="2" t="n">
        <f aca="false">12*U74</f>
        <v>2974113.45</v>
      </c>
      <c r="Z74" s="1" t="s">
        <v>111</v>
      </c>
      <c r="AA74" s="3" t="s">
        <v>112</v>
      </c>
      <c r="AB74" s="3"/>
      <c r="AC74" s="3"/>
    </row>
    <row r="75" customFormat="false" ht="12.8" hidden="false" customHeight="false" outlineLevel="0" collapsed="false">
      <c r="N75" s="3" t="s">
        <v>113</v>
      </c>
      <c r="O75" s="10" t="n">
        <f aca="false">D1*5.56*L48</f>
        <v>155958</v>
      </c>
      <c r="P75" s="2" t="n">
        <v>1</v>
      </c>
      <c r="Q75" s="2" t="s">
        <v>37</v>
      </c>
      <c r="R75" s="2" t="n">
        <f aca="false">O75*35%</f>
        <v>54585.3</v>
      </c>
      <c r="S75" s="2" t="n">
        <f aca="false">O75+R75</f>
        <v>210543.3</v>
      </c>
      <c r="T75" s="2" t="n">
        <f aca="false">10%*S75</f>
        <v>21054.33</v>
      </c>
      <c r="U75" s="2" t="n">
        <f aca="false">S75+T75</f>
        <v>231597.63</v>
      </c>
      <c r="V75" s="2" t="n">
        <f aca="false">12*U75</f>
        <v>2779171.56</v>
      </c>
      <c r="Z75" s="1" t="s">
        <v>114</v>
      </c>
      <c r="AA75" s="3" t="s">
        <v>115</v>
      </c>
      <c r="AB75" s="3" t="s">
        <v>116</v>
      </c>
      <c r="AC75" s="5" t="s">
        <v>117</v>
      </c>
      <c r="AD75" s="9" t="n">
        <f aca="false">O74</f>
        <v>166897.5</v>
      </c>
      <c r="AE75" s="9" t="n">
        <f aca="false">0.35*AD75</f>
        <v>58414.125</v>
      </c>
      <c r="AF75" s="9" t="n">
        <f aca="false">SUM(AD75:AE75)</f>
        <v>225311.625</v>
      </c>
      <c r="AG75" s="9" t="n">
        <f aca="false">10%*AF75</f>
        <v>22531.1625</v>
      </c>
      <c r="AH75" s="9" t="n">
        <f aca="false">SUM(AF75:AG75)*12</f>
        <v>2974113.45</v>
      </c>
      <c r="AI75" s="9" t="n">
        <f aca="false">SUM(AH75:AH77)</f>
        <v>8117580.24</v>
      </c>
    </row>
    <row r="76" customFormat="false" ht="12.8" hidden="false" customHeight="false" outlineLevel="0" collapsed="false">
      <c r="N76" s="3" t="s">
        <v>43</v>
      </c>
      <c r="O76" s="2"/>
      <c r="P76" s="2"/>
      <c r="Q76" s="2"/>
      <c r="R76" s="2"/>
      <c r="S76" s="2"/>
      <c r="T76" s="2"/>
      <c r="U76" s="2"/>
      <c r="V76" s="2" t="n">
        <f aca="false">SUM(V74:V75)</f>
        <v>5753285.01</v>
      </c>
      <c r="Z76" s="1" t="s">
        <v>118</v>
      </c>
      <c r="AA76" s="3" t="s">
        <v>119</v>
      </c>
      <c r="AB76" s="3"/>
      <c r="AC76" s="5" t="s">
        <v>120</v>
      </c>
      <c r="AD76" s="9" t="n">
        <f aca="false">O75</f>
        <v>155958</v>
      </c>
      <c r="AE76" s="9" t="n">
        <f aca="false">0.35*AD76</f>
        <v>54585.3</v>
      </c>
      <c r="AF76" s="9" t="n">
        <f aca="false">SUM(AD76:AE76)</f>
        <v>210543.3</v>
      </c>
      <c r="AG76" s="9" t="n">
        <f aca="false">10%*AF76</f>
        <v>21054.33</v>
      </c>
      <c r="AH76" s="9" t="n">
        <f aca="false">SUM(AF76:AG76)*12</f>
        <v>2779171.56</v>
      </c>
      <c r="AI76" s="9"/>
    </row>
    <row r="77" customFormat="false" ht="12.8" hidden="false" customHeight="false" outlineLevel="0" collapsed="false">
      <c r="O77" s="2"/>
      <c r="P77" s="2"/>
      <c r="Q77" s="2"/>
      <c r="R77" s="2"/>
      <c r="S77" s="2"/>
      <c r="T77" s="2"/>
      <c r="U77" s="2"/>
      <c r="V77" s="2"/>
      <c r="Z77" s="1" t="s">
        <v>121</v>
      </c>
      <c r="AA77" s="3" t="s">
        <v>122</v>
      </c>
      <c r="AB77" s="3" t="s">
        <v>116</v>
      </c>
      <c r="AC77" s="5" t="n">
        <v>12.13</v>
      </c>
      <c r="AD77" s="9" t="n">
        <f aca="false">D1*4.73*L48</f>
        <v>132676.5</v>
      </c>
      <c r="AE77" s="9" t="n">
        <f aca="false">0.35*AD77</f>
        <v>46436.775</v>
      </c>
      <c r="AF77" s="9" t="n">
        <f aca="false">SUM(AD77:AE77)</f>
        <v>179113.275</v>
      </c>
      <c r="AG77" s="9" t="n">
        <f aca="false">10%*AF77</f>
        <v>17911.3275</v>
      </c>
      <c r="AH77" s="9" t="n">
        <f aca="false">SUM(AF77:AG77)*12</f>
        <v>2364295.23</v>
      </c>
      <c r="AI77" s="9"/>
    </row>
    <row r="78" customFormat="false" ht="12.8" hidden="false" customHeight="false" outlineLevel="0" collapsed="false">
      <c r="Z78" s="1" t="n">
        <v>2</v>
      </c>
      <c r="AA78" s="3" t="s">
        <v>123</v>
      </c>
      <c r="AB78" s="3"/>
      <c r="AC78" s="5"/>
      <c r="AD78" s="9"/>
      <c r="AE78" s="9"/>
      <c r="AF78" s="9"/>
      <c r="AG78" s="9"/>
      <c r="AH78" s="9"/>
      <c r="AI78" s="9"/>
    </row>
    <row r="79" customFormat="false" ht="12.8" hidden="false" customHeight="false" outlineLevel="0" collapsed="false">
      <c r="Z79" s="1" t="s">
        <v>124</v>
      </c>
      <c r="AA79" s="3" t="s">
        <v>125</v>
      </c>
      <c r="AB79" s="3"/>
      <c r="AC79" s="5" t="s">
        <v>126</v>
      </c>
      <c r="AD79" s="9" t="n">
        <f aca="false">D1*3.68*L48</f>
        <v>103224</v>
      </c>
      <c r="AE79" s="9" t="n">
        <f aca="false">0.35*AD79</f>
        <v>36128.4</v>
      </c>
      <c r="AF79" s="9" t="n">
        <f aca="false">SUM(AD79:AE79)</f>
        <v>139352.4</v>
      </c>
      <c r="AG79" s="9" t="n">
        <f aca="false">10%*AF79</f>
        <v>13935.24</v>
      </c>
      <c r="AH79" s="9" t="n">
        <f aca="false">SUM(AF79:AG79)*12</f>
        <v>1839451.68</v>
      </c>
      <c r="AI79" s="9" t="n">
        <f aca="false">SUM(AH79:AH87)</f>
        <v>14645634.3</v>
      </c>
    </row>
    <row r="80" customFormat="false" ht="12.8" hidden="false" customHeight="false" outlineLevel="0" collapsed="false">
      <c r="Z80" s="1" t="s">
        <v>127</v>
      </c>
      <c r="AA80" s="3" t="s">
        <v>128</v>
      </c>
      <c r="AB80" s="3"/>
      <c r="AC80" s="5" t="s">
        <v>126</v>
      </c>
      <c r="AD80" s="9" t="n">
        <f aca="false">D1*3.68*L48</f>
        <v>103224</v>
      </c>
      <c r="AE80" s="9" t="n">
        <f aca="false">0.35*AD80</f>
        <v>36128.4</v>
      </c>
      <c r="AF80" s="9" t="n">
        <f aca="false">SUM(AD80:AE80)</f>
        <v>139352.4</v>
      </c>
      <c r="AG80" s="9" t="n">
        <f aca="false">10%*AF80</f>
        <v>13935.24</v>
      </c>
      <c r="AH80" s="9" t="n">
        <f aca="false">SUM(AF80:AG80)*12</f>
        <v>1839451.68</v>
      </c>
      <c r="AI80" s="9"/>
    </row>
    <row r="81" customFormat="false" ht="12.8" hidden="false" customHeight="false" outlineLevel="0" collapsed="false">
      <c r="Z81" s="1" t="s">
        <v>129</v>
      </c>
      <c r="AA81" s="3" t="s">
        <v>130</v>
      </c>
      <c r="AB81" s="3"/>
      <c r="AC81" s="5" t="n">
        <v>7.8</v>
      </c>
      <c r="AD81" s="9" t="n">
        <f aca="false">D1*2.54*L48</f>
        <v>71247</v>
      </c>
      <c r="AE81" s="9" t="n">
        <f aca="false">0.35*AD81</f>
        <v>24936.45</v>
      </c>
      <c r="AF81" s="9" t="n">
        <f aca="false">SUM(AD81:AE81)</f>
        <v>96183.45</v>
      </c>
      <c r="AG81" s="9" t="n">
        <f aca="false">10%*AF81</f>
        <v>9618.345</v>
      </c>
      <c r="AH81" s="9" t="n">
        <f aca="false">SUM(AF81:AG81)*12</f>
        <v>1269621.54</v>
      </c>
      <c r="AI81" s="9"/>
    </row>
    <row r="82" customFormat="false" ht="12.8" hidden="false" customHeight="false" outlineLevel="0" collapsed="false">
      <c r="Z82" s="1" t="s">
        <v>131</v>
      </c>
      <c r="AA82" s="3" t="s">
        <v>132</v>
      </c>
      <c r="AB82" s="3"/>
      <c r="AC82" s="5" t="n">
        <v>7.8</v>
      </c>
      <c r="AD82" s="9" t="n">
        <f aca="false">D1*2.54*L48</f>
        <v>71247</v>
      </c>
      <c r="AE82" s="9" t="n">
        <f aca="false">0.35*AD82</f>
        <v>24936.45</v>
      </c>
      <c r="AF82" s="9" t="n">
        <f aca="false">SUM(AD82:AE82)</f>
        <v>96183.45</v>
      </c>
      <c r="AG82" s="9" t="n">
        <f aca="false">10%*AF82</f>
        <v>9618.345</v>
      </c>
      <c r="AH82" s="9" t="n">
        <f aca="false">SUM(AF82:AG82)*12</f>
        <v>1269621.54</v>
      </c>
      <c r="AI82" s="9"/>
    </row>
    <row r="83" customFormat="false" ht="12.8" hidden="false" customHeight="false" outlineLevel="0" collapsed="false">
      <c r="N83" s="11" t="s">
        <v>133</v>
      </c>
      <c r="Z83" s="1" t="s">
        <v>134</v>
      </c>
      <c r="AA83" s="3" t="s">
        <v>135</v>
      </c>
      <c r="AB83" s="3"/>
      <c r="AC83" s="5" t="n">
        <v>9.11</v>
      </c>
      <c r="AD83" s="9" t="n">
        <f aca="false">D1*3.68*L48</f>
        <v>103224</v>
      </c>
      <c r="AE83" s="9" t="n">
        <f aca="false">0.35*AD83</f>
        <v>36128.4</v>
      </c>
      <c r="AF83" s="9" t="n">
        <f aca="false">SUM(AD83:AE83)</f>
        <v>139352.4</v>
      </c>
      <c r="AG83" s="9" t="n">
        <f aca="false">10%*AF83</f>
        <v>13935.24</v>
      </c>
      <c r="AH83" s="9" t="n">
        <f aca="false">SUM(AF83:AG83)*12</f>
        <v>1839451.68</v>
      </c>
      <c r="AI83" s="9"/>
    </row>
    <row r="84" customFormat="false" ht="12.8" hidden="false" customHeight="false" outlineLevel="0" collapsed="false">
      <c r="N84" s="3" t="s">
        <v>2</v>
      </c>
      <c r="O84" s="1" t="n">
        <v>1</v>
      </c>
      <c r="P84" s="1" t="n">
        <v>2</v>
      </c>
      <c r="Q84" s="1" t="n">
        <v>3</v>
      </c>
      <c r="R84" s="1" t="n">
        <v>4</v>
      </c>
      <c r="S84" s="1" t="n">
        <v>5</v>
      </c>
      <c r="Z84" s="1" t="s">
        <v>136</v>
      </c>
      <c r="AA84" s="3" t="s">
        <v>137</v>
      </c>
      <c r="AB84" s="3"/>
      <c r="AC84" s="5" t="s">
        <v>138</v>
      </c>
      <c r="AD84" s="9" t="n">
        <f aca="false">D1*2.91*L48</f>
        <v>81625.5</v>
      </c>
      <c r="AE84" s="9" t="n">
        <f aca="false">0.35*AD84</f>
        <v>28568.925</v>
      </c>
      <c r="AF84" s="9" t="n">
        <f aca="false">SUM(AD84:AE84)</f>
        <v>110194.425</v>
      </c>
      <c r="AG84" s="9" t="n">
        <f aca="false">10%*AF84</f>
        <v>11019.4425</v>
      </c>
      <c r="AH84" s="9" t="n">
        <f aca="false">SUM(AF84:AG84)*12</f>
        <v>1454566.41</v>
      </c>
      <c r="AI84" s="9"/>
    </row>
    <row r="85" customFormat="false" ht="12.8" hidden="false" customHeight="false" outlineLevel="0" collapsed="false">
      <c r="N85" s="3" t="s">
        <v>32</v>
      </c>
      <c r="O85" s="0" t="n">
        <f aca="false">P4*2*8*(1-6%)</f>
        <v>3714.88</v>
      </c>
      <c r="P85" s="0" t="n">
        <f aca="false">P4*2*8*(1-6%)</f>
        <v>3714.88</v>
      </c>
      <c r="Q85" s="0" t="n">
        <f aca="false">P4*2*8</f>
        <v>3952</v>
      </c>
      <c r="R85" s="0" t="n">
        <f aca="false">P4*2*8</f>
        <v>3952</v>
      </c>
      <c r="S85" s="0" t="n">
        <f aca="false">P4*2*8</f>
        <v>3952</v>
      </c>
      <c r="Z85" s="1" t="s">
        <v>139</v>
      </c>
      <c r="AA85" s="3" t="s">
        <v>140</v>
      </c>
      <c r="AB85" s="3"/>
      <c r="AC85" s="5" t="n">
        <v>9.1</v>
      </c>
      <c r="AD85" s="9" t="n">
        <f aca="false">D1*2.91*L48</f>
        <v>81625.5</v>
      </c>
      <c r="AE85" s="9" t="n">
        <f aca="false">0.35*AD85</f>
        <v>28568.925</v>
      </c>
      <c r="AF85" s="9" t="n">
        <f aca="false">SUM(AD85:AE85)</f>
        <v>110194.425</v>
      </c>
      <c r="AG85" s="9" t="n">
        <f aca="false">10%*AF85</f>
        <v>11019.4425</v>
      </c>
      <c r="AH85" s="9" t="n">
        <f aca="false">SUM(AF85:AG85)*12</f>
        <v>1454566.41</v>
      </c>
      <c r="AI85" s="9"/>
    </row>
    <row r="86" customFormat="false" ht="12.8" hidden="false" customHeight="false" outlineLevel="0" collapsed="false">
      <c r="N86" s="3" t="s">
        <v>141</v>
      </c>
      <c r="O86" s="0" t="n">
        <f aca="false">_xlfn.CEILING.MATH(($B5*$I2+$B6*$J2)/($O85*$K2))</f>
        <v>4</v>
      </c>
      <c r="P86" s="0" t="n">
        <f aca="false">_xlfn.CEILING.MATH(($B5*$I3+$B6*$J3)/($K3*P85))</f>
        <v>6</v>
      </c>
      <c r="Q86" s="0" t="n">
        <f aca="false">_xlfn.CEILING.MATH(($B5*$I4+$B6*$J4)/($K4*Q85))</f>
        <v>9</v>
      </c>
      <c r="R86" s="0" t="n">
        <f aca="false">_xlfn.CEILING.MATH(($B5*$I5+$B6*$J5)/($K5*R85))</f>
        <v>15</v>
      </c>
      <c r="S86" s="0" t="n">
        <f aca="false">_xlfn.CEILING.MATH(($B5*$I6+$B6*$J6)/($L6*S85))</f>
        <v>3</v>
      </c>
      <c r="Z86" s="1" t="s">
        <v>142</v>
      </c>
      <c r="AA86" s="3" t="s">
        <v>143</v>
      </c>
      <c r="AB86" s="3"/>
      <c r="AC86" s="5" t="s">
        <v>126</v>
      </c>
      <c r="AD86" s="9" t="n">
        <f aca="false">D1*3.68*L48</f>
        <v>103224</v>
      </c>
      <c r="AE86" s="9" t="n">
        <f aca="false">0.35*AD86</f>
        <v>36128.4</v>
      </c>
      <c r="AF86" s="9" t="n">
        <f aca="false">SUM(AD86:AE86)</f>
        <v>139352.4</v>
      </c>
      <c r="AG86" s="9" t="n">
        <f aca="false">10%*AF86</f>
        <v>13935.24</v>
      </c>
      <c r="AH86" s="9" t="n">
        <f aca="false">SUM(AF86:AG86)*12</f>
        <v>1839451.68</v>
      </c>
      <c r="AI86" s="9"/>
    </row>
    <row r="87" customFormat="false" ht="12.8" hidden="false" customHeight="false" outlineLevel="0" collapsed="false">
      <c r="O87" s="16"/>
      <c r="P87" s="16"/>
      <c r="Q87" s="16"/>
      <c r="R87" s="16"/>
      <c r="S87" s="16"/>
      <c r="Z87" s="1" t="s">
        <v>144</v>
      </c>
      <c r="AA87" s="3" t="s">
        <v>145</v>
      </c>
      <c r="AB87" s="3"/>
      <c r="AC87" s="5" t="s">
        <v>126</v>
      </c>
      <c r="AD87" s="9" t="n">
        <f aca="false">D1*3.68*L48</f>
        <v>103224</v>
      </c>
      <c r="AE87" s="9" t="n">
        <f aca="false">0.35*AD87</f>
        <v>36128.4</v>
      </c>
      <c r="AF87" s="9" t="n">
        <f aca="false">SUM(AD87:AE87)</f>
        <v>139352.4</v>
      </c>
      <c r="AG87" s="9" t="n">
        <f aca="false">10%*AF87</f>
        <v>13935.24</v>
      </c>
      <c r="AH87" s="9" t="n">
        <f aca="false">SUM(AF87:AG87)*12</f>
        <v>1839451.68</v>
      </c>
      <c r="AI87" s="9"/>
    </row>
    <row r="88" customFormat="false" ht="12.8" hidden="false" customHeight="false" outlineLevel="0" collapsed="false">
      <c r="Z88" s="1" t="n">
        <v>3</v>
      </c>
      <c r="AA88" s="3" t="s">
        <v>146</v>
      </c>
      <c r="AB88" s="3"/>
      <c r="AC88" s="5"/>
      <c r="AD88" s="9"/>
      <c r="AE88" s="9"/>
      <c r="AF88" s="9"/>
      <c r="AG88" s="9"/>
      <c r="AH88" s="9"/>
      <c r="AI88" s="9"/>
    </row>
    <row r="89" customFormat="false" ht="12.8" hidden="false" customHeight="false" outlineLevel="0" collapsed="false">
      <c r="Z89" s="1" t="s">
        <v>147</v>
      </c>
      <c r="AA89" s="3" t="s">
        <v>148</v>
      </c>
      <c r="AB89" s="3"/>
      <c r="AC89" s="5" t="s">
        <v>149</v>
      </c>
      <c r="AD89" s="9" t="n">
        <f aca="false">D1*2*2.54*L48</f>
        <v>142494</v>
      </c>
      <c r="AE89" s="9" t="n">
        <f aca="false">0.35*AD89</f>
        <v>49872.9</v>
      </c>
      <c r="AF89" s="9" t="n">
        <f aca="false">SUM(AD89:AE89)</f>
        <v>192366.9</v>
      </c>
      <c r="AG89" s="9" t="n">
        <f aca="false">10%*AF89</f>
        <v>19236.69</v>
      </c>
      <c r="AH89" s="9" t="n">
        <f aca="false">SUM(AF89:AG89)*12</f>
        <v>2539243.08</v>
      </c>
      <c r="AI89" s="9" t="n">
        <f aca="false">SUM(AH89:AH94)</f>
        <v>9987022.98</v>
      </c>
    </row>
    <row r="90" customFormat="false" ht="12.8" hidden="false" customHeight="false" outlineLevel="0" collapsed="false">
      <c r="Z90" s="1" t="s">
        <v>150</v>
      </c>
      <c r="AA90" s="3" t="s">
        <v>151</v>
      </c>
      <c r="AB90" s="3" t="s">
        <v>116</v>
      </c>
      <c r="AC90" s="5" t="s">
        <v>149</v>
      </c>
      <c r="AD90" s="9" t="n">
        <f aca="false">D1*2.54*L48</f>
        <v>71247</v>
      </c>
      <c r="AE90" s="9" t="n">
        <f aca="false">0.35*AD90</f>
        <v>24936.45</v>
      </c>
      <c r="AF90" s="9" t="n">
        <f aca="false">SUM(AD90:AE90)</f>
        <v>96183.45</v>
      </c>
      <c r="AG90" s="9" t="n">
        <f aca="false">10%*AF90</f>
        <v>9618.345</v>
      </c>
      <c r="AH90" s="9" t="n">
        <f aca="false">SUM(AF90:AG90)*12</f>
        <v>1269621.54</v>
      </c>
      <c r="AI90" s="9"/>
    </row>
    <row r="91" customFormat="false" ht="12.8" hidden="false" customHeight="false" outlineLevel="0" collapsed="false">
      <c r="N91" s="11" t="s">
        <v>152</v>
      </c>
      <c r="Z91" s="1" t="s">
        <v>153</v>
      </c>
      <c r="AA91" s="3" t="s">
        <v>154</v>
      </c>
      <c r="AB91" s="3"/>
      <c r="AC91" s="5" t="n">
        <v>5.6</v>
      </c>
      <c r="AD91" s="9" t="n">
        <f aca="false">D1*2*2*L48</f>
        <v>112200</v>
      </c>
      <c r="AE91" s="9" t="n">
        <f aca="false">0.35*AD91</f>
        <v>39270</v>
      </c>
      <c r="AF91" s="9" t="n">
        <f aca="false">SUM(AD91:AE91)</f>
        <v>151470</v>
      </c>
      <c r="AG91" s="9" t="n">
        <f aca="false">10%*AF91</f>
        <v>15147</v>
      </c>
      <c r="AH91" s="9" t="n">
        <f aca="false">SUM(AF91:AG91)*12</f>
        <v>1999404</v>
      </c>
      <c r="AI91" s="9"/>
    </row>
    <row r="92" customFormat="false" ht="12.8" hidden="false" customHeight="false" outlineLevel="0" collapsed="false">
      <c r="N92" s="3" t="s">
        <v>155</v>
      </c>
      <c r="O92" s="2" t="n">
        <f aca="false">20*O86+10*SUM(P86:S86)</f>
        <v>410</v>
      </c>
      <c r="P92" s="2"/>
      <c r="Q92" s="2"/>
      <c r="R92" s="2"/>
      <c r="S92" s="2"/>
      <c r="Z92" s="1" t="s">
        <v>156</v>
      </c>
      <c r="AA92" s="3" t="s">
        <v>157</v>
      </c>
      <c r="AB92" s="3"/>
      <c r="AC92" s="5" t="s">
        <v>158</v>
      </c>
      <c r="AD92" s="9" t="n">
        <f aca="false">D1*2*L48</f>
        <v>56100</v>
      </c>
      <c r="AE92" s="9" t="n">
        <f aca="false">0.35*AD92</f>
        <v>19635</v>
      </c>
      <c r="AF92" s="9" t="n">
        <f aca="false">SUM(AD92:AE92)</f>
        <v>75735</v>
      </c>
      <c r="AG92" s="9" t="n">
        <f aca="false">10%*AF92</f>
        <v>7573.5</v>
      </c>
      <c r="AH92" s="9" t="n">
        <f aca="false">SUM(AF92:AG92)*12</f>
        <v>999702</v>
      </c>
      <c r="AI92" s="9"/>
    </row>
    <row r="93" customFormat="false" ht="12.8" hidden="false" customHeight="false" outlineLevel="0" collapsed="false">
      <c r="N93" s="3" t="s">
        <v>159</v>
      </c>
      <c r="O93" s="2" t="n">
        <f aca="false">5*C20+8*C19+20*C21+7*SUM(O39:O45)</f>
        <v>284</v>
      </c>
      <c r="P93" s="3" t="s">
        <v>160</v>
      </c>
      <c r="Z93" s="1" t="s">
        <v>161</v>
      </c>
      <c r="AA93" s="3" t="s">
        <v>162</v>
      </c>
      <c r="AB93" s="3"/>
      <c r="AC93" s="5" t="n">
        <v>2.3</v>
      </c>
      <c r="AD93" s="9" t="n">
        <f aca="false">D1*2*1.59*L48</f>
        <v>89199</v>
      </c>
      <c r="AE93" s="9" t="n">
        <f aca="false">0.35*AD93</f>
        <v>31219.65</v>
      </c>
      <c r="AF93" s="9" t="n">
        <f aca="false">SUM(AD93:AE93)</f>
        <v>120418.65</v>
      </c>
      <c r="AG93" s="9" t="n">
        <f aca="false">10%*AF93</f>
        <v>12041.865</v>
      </c>
      <c r="AH93" s="9" t="n">
        <f aca="false">SUM(AF93:AG93)*12</f>
        <v>1589526.18</v>
      </c>
      <c r="AI93" s="9"/>
    </row>
    <row r="94" customFormat="false" ht="12.8" hidden="false" customHeight="false" outlineLevel="0" collapsed="false">
      <c r="N94" s="3" t="s">
        <v>163</v>
      </c>
      <c r="O94" s="17" t="n">
        <f aca="false">C22*2</f>
        <v>228</v>
      </c>
      <c r="P94" s="18" t="s">
        <v>164</v>
      </c>
      <c r="Q94" s="18"/>
      <c r="R94" s="18"/>
      <c r="S94" s="18"/>
      <c r="Z94" s="1" t="s">
        <v>165</v>
      </c>
      <c r="AA94" s="3" t="s">
        <v>166</v>
      </c>
      <c r="AB94" s="3"/>
      <c r="AC94" s="5" t="n">
        <v>2.3</v>
      </c>
      <c r="AD94" s="9" t="n">
        <f aca="false">D1*2*1.59*L48</f>
        <v>89199</v>
      </c>
      <c r="AE94" s="9" t="n">
        <f aca="false">0.35*AD94</f>
        <v>31219.65</v>
      </c>
      <c r="AF94" s="9" t="n">
        <f aca="false">SUM(AD94:AE94)</f>
        <v>120418.65</v>
      </c>
      <c r="AG94" s="9" t="n">
        <f aca="false">10%*AF94</f>
        <v>12041.865</v>
      </c>
      <c r="AH94" s="9" t="n">
        <f aca="false">SUM(AF94:AG94)*12</f>
        <v>1589526.18</v>
      </c>
      <c r="AI94" s="9"/>
    </row>
    <row r="95" customFormat="false" ht="12.8" hidden="false" customHeight="false" outlineLevel="0" collapsed="false">
      <c r="N95" s="3" t="s">
        <v>43</v>
      </c>
      <c r="O95" s="17" t="n">
        <f aca="false">SUM(O92:O94)</f>
        <v>922</v>
      </c>
      <c r="P95" s="16"/>
      <c r="Q95" s="16"/>
      <c r="R95" s="16"/>
      <c r="S95" s="16"/>
      <c r="AA95" s="3" t="s">
        <v>43</v>
      </c>
      <c r="AD95" s="9" t="n">
        <f aca="false">SUM(AD75:AD94)</f>
        <v>1837836</v>
      </c>
      <c r="AE95" s="9"/>
      <c r="AF95" s="9"/>
      <c r="AG95" s="9"/>
      <c r="AH95" s="9"/>
      <c r="AI95" s="9" t="n">
        <f aca="false">AI89+AI79+AI75</f>
        <v>32750237.52</v>
      </c>
    </row>
    <row r="96" customFormat="false" ht="12.8" hidden="false" customHeight="false" outlineLevel="0" collapsed="false">
      <c r="N96" s="11" t="s">
        <v>167</v>
      </c>
    </row>
    <row r="97" customFormat="false" ht="12.8" hidden="false" customHeight="false" outlineLevel="0" collapsed="false">
      <c r="N97" s="12" t="s">
        <v>168</v>
      </c>
      <c r="R97" s="3" t="s">
        <v>169</v>
      </c>
    </row>
    <row r="98" customFormat="false" ht="12.8" hidden="false" customHeight="false" outlineLevel="0" collapsed="false">
      <c r="N98" s="3" t="s">
        <v>170</v>
      </c>
      <c r="O98" s="0" t="n">
        <f aca="false">D$1*4</f>
        <v>89760</v>
      </c>
      <c r="Q98" s="3" t="n">
        <v>2</v>
      </c>
      <c r="R98" s="0" t="n">
        <f aca="false">500*$D$1*(P86+P87)</f>
        <v>67320000</v>
      </c>
    </row>
    <row r="99" customFormat="false" ht="12.8" hidden="false" customHeight="false" outlineLevel="0" collapsed="false">
      <c r="N99" s="3" t="s">
        <v>171</v>
      </c>
      <c r="O99" s="0" t="n">
        <f aca="false">D$1*5</f>
        <v>112200</v>
      </c>
      <c r="Q99" s="3" t="n">
        <v>3</v>
      </c>
      <c r="R99" s="0" t="n">
        <f aca="false">500*$D$1*(Q86+Q87)</f>
        <v>100980000</v>
      </c>
    </row>
    <row r="100" customFormat="false" ht="12.8" hidden="false" customHeight="false" outlineLevel="0" collapsed="false">
      <c r="N100" s="3" t="s">
        <v>172</v>
      </c>
      <c r="O100" s="0" t="n">
        <f aca="false">D$1*5</f>
        <v>112200</v>
      </c>
      <c r="Q100" s="3" t="n">
        <v>4</v>
      </c>
      <c r="R100" s="0" t="n">
        <f aca="false">500*$D$1*(R86+R87)</f>
        <v>168300000</v>
      </c>
    </row>
    <row r="101" customFormat="false" ht="12.8" hidden="false" customHeight="false" outlineLevel="0" collapsed="false">
      <c r="N101" s="3" t="s">
        <v>173</v>
      </c>
      <c r="O101" s="0" t="n">
        <f aca="false">1800*SUM(O86:O87)*D1</f>
        <v>161568000</v>
      </c>
      <c r="Q101" s="3" t="n">
        <v>5</v>
      </c>
      <c r="R101" s="0" t="n">
        <f aca="false">500*$D$1*(S86+S87)</f>
        <v>33660000</v>
      </c>
    </row>
    <row r="102" customFormat="false" ht="12.8" hidden="false" customHeight="false" outlineLevel="0" collapsed="false">
      <c r="N102" s="3" t="s">
        <v>174</v>
      </c>
      <c r="O102" s="0" t="n">
        <f aca="false">SUM(R98:R101)</f>
        <v>370260000</v>
      </c>
    </row>
    <row r="103" customFormat="false" ht="12.8" hidden="false" customHeight="false" outlineLevel="0" collapsed="false">
      <c r="N103" s="3" t="s">
        <v>175</v>
      </c>
      <c r="O103" s="0" t="n">
        <f aca="false">750*D1</f>
        <v>16830000</v>
      </c>
    </row>
    <row r="104" customFormat="false" ht="12.8" hidden="false" customHeight="false" outlineLevel="0" collapsed="false">
      <c r="N104" s="3" t="s">
        <v>176</v>
      </c>
      <c r="O104" s="0" t="n">
        <f aca="false">1300*D1</f>
        <v>29172000</v>
      </c>
    </row>
    <row r="105" customFormat="false" ht="12.8" hidden="false" customHeight="false" outlineLevel="0" collapsed="false">
      <c r="N105" s="3" t="s">
        <v>177</v>
      </c>
      <c r="O105" s="0" t="n">
        <f aca="false">350*D1</f>
        <v>7854000</v>
      </c>
    </row>
    <row r="106" customFormat="false" ht="12.8" hidden="false" customHeight="false" outlineLevel="0" collapsed="false">
      <c r="N106" s="3" t="s">
        <v>178</v>
      </c>
      <c r="O106" s="0" t="n">
        <f aca="false">O95*15*D1</f>
        <v>310345200</v>
      </c>
    </row>
    <row r="107" customFormat="false" ht="12.8" hidden="false" customHeight="false" outlineLevel="0" collapsed="false">
      <c r="N107" s="3" t="s">
        <v>179</v>
      </c>
      <c r="O107" s="0" t="n">
        <f aca="false">SUM(O98:O106)</f>
        <v>896343360</v>
      </c>
    </row>
    <row r="110" customFormat="false" ht="12.8" hidden="false" customHeight="false" outlineLevel="0" collapsed="false">
      <c r="N110" s="11" t="s">
        <v>180</v>
      </c>
      <c r="O110" s="3" t="s">
        <v>85</v>
      </c>
      <c r="P110" s="3" t="s">
        <v>86</v>
      </c>
      <c r="Q110" s="3" t="s">
        <v>181</v>
      </c>
      <c r="R110" s="3" t="s">
        <v>182</v>
      </c>
    </row>
    <row r="111" customFormat="false" ht="12.8" hidden="false" customHeight="false" outlineLevel="0" collapsed="false">
      <c r="N111" s="3" t="s">
        <v>183</v>
      </c>
      <c r="O111" s="0" t="n">
        <v>3.1</v>
      </c>
      <c r="P111" s="2" t="s">
        <v>37</v>
      </c>
      <c r="Q111" s="0" t="n">
        <v>86</v>
      </c>
      <c r="R111" s="9" t="n">
        <f aca="false">Q111/1.2</f>
        <v>71.6666666666667</v>
      </c>
    </row>
    <row r="112" customFormat="false" ht="12.8" hidden="false" customHeight="false" outlineLevel="0" collapsed="false">
      <c r="N112" s="3" t="s">
        <v>184</v>
      </c>
      <c r="O112" s="2" t="s">
        <v>37</v>
      </c>
      <c r="P112" s="0" t="n">
        <v>5.7</v>
      </c>
      <c r="Q112" s="0" t="n">
        <v>47</v>
      </c>
      <c r="R112" s="9" t="n">
        <f aca="false">Q112/1.2</f>
        <v>39.1666666666667</v>
      </c>
    </row>
    <row r="113" customFormat="false" ht="12.8" hidden="false" customHeight="false" outlineLevel="0" collapsed="false">
      <c r="N113" s="3" t="s">
        <v>185</v>
      </c>
      <c r="O113" s="2" t="s">
        <v>37</v>
      </c>
      <c r="P113" s="0" t="n">
        <v>7.2</v>
      </c>
      <c r="Q113" s="0" t="n">
        <v>50</v>
      </c>
      <c r="R113" s="9" t="n">
        <f aca="false">Q113/1.2</f>
        <v>41.6666666666667</v>
      </c>
    </row>
    <row r="114" customFormat="false" ht="12.8" hidden="false" customHeight="false" outlineLevel="0" collapsed="false">
      <c r="N114" s="3" t="s">
        <v>186</v>
      </c>
      <c r="O114" s="0" t="n">
        <v>12</v>
      </c>
      <c r="P114" s="2" t="s">
        <v>37</v>
      </c>
      <c r="Q114" s="0" t="n">
        <v>57</v>
      </c>
      <c r="R114" s="9" t="n">
        <f aca="false">Q114/1.2</f>
        <v>47.5</v>
      </c>
    </row>
    <row r="115" customFormat="false" ht="12.8" hidden="false" customHeight="false" outlineLevel="0" collapsed="false">
      <c r="N115" s="3" t="s">
        <v>187</v>
      </c>
      <c r="O115" s="0" t="n">
        <v>6</v>
      </c>
      <c r="P115" s="0" t="n">
        <v>8</v>
      </c>
      <c r="Q115" s="0" t="n">
        <v>65</v>
      </c>
      <c r="R115" s="9" t="n">
        <f aca="false">Q115/1.2</f>
        <v>54.1666666666667</v>
      </c>
    </row>
    <row r="116" customFormat="false" ht="12.8" hidden="false" customHeight="false" outlineLevel="0" collapsed="false">
      <c r="N116" s="3" t="s">
        <v>188</v>
      </c>
      <c r="O116" s="0" t="n">
        <v>8</v>
      </c>
      <c r="P116" s="0" t="n">
        <v>9</v>
      </c>
      <c r="Q116" s="0" t="n">
        <v>49</v>
      </c>
      <c r="R116" s="9" t="n">
        <f aca="false">Q116/1.2</f>
        <v>40.8333333333333</v>
      </c>
    </row>
    <row r="117" customFormat="false" ht="12.8" hidden="false" customHeight="false" outlineLevel="0" collapsed="false">
      <c r="N117" s="0" t="s">
        <v>189</v>
      </c>
    </row>
    <row r="118" customFormat="false" ht="12.8" hidden="false" customHeight="false" outlineLevel="0" collapsed="false">
      <c r="N118" s="11" t="s">
        <v>190</v>
      </c>
    </row>
    <row r="119" customFormat="false" ht="12.8" hidden="false" customHeight="false" outlineLevel="0" collapsed="false">
      <c r="M119" s="19" t="s">
        <v>191</v>
      </c>
      <c r="N119" s="3" t="s">
        <v>192</v>
      </c>
      <c r="O119" s="3" t="s">
        <v>193</v>
      </c>
      <c r="P119" s="1" t="s">
        <v>194</v>
      </c>
      <c r="Q119" s="1"/>
      <c r="R119" s="1"/>
      <c r="S119" s="1"/>
      <c r="T119" s="3"/>
      <c r="U119" s="3"/>
    </row>
    <row r="120" customFormat="false" ht="12.8" hidden="false" customHeight="false" outlineLevel="0" collapsed="false">
      <c r="M120" s="3"/>
      <c r="N120" s="3"/>
      <c r="O120" s="3" t="s">
        <v>195</v>
      </c>
      <c r="P120" s="1" t="s">
        <v>85</v>
      </c>
      <c r="Q120" s="1"/>
      <c r="R120" s="1" t="s">
        <v>86</v>
      </c>
      <c r="S120" s="1"/>
      <c r="T120" s="3"/>
      <c r="U120" s="3"/>
    </row>
    <row r="121" customFormat="false" ht="12.8" hidden="false" customHeight="false" outlineLevel="0" collapsed="false">
      <c r="M121" s="3"/>
      <c r="N121" s="3"/>
      <c r="O121" s="3"/>
      <c r="P121" s="1" t="s">
        <v>196</v>
      </c>
      <c r="Q121" s="1" t="s">
        <v>197</v>
      </c>
      <c r="R121" s="1" t="s">
        <v>196</v>
      </c>
      <c r="S121" s="1" t="s">
        <v>197</v>
      </c>
      <c r="T121" s="1" t="s">
        <v>198</v>
      </c>
      <c r="U121" s="3" t="s">
        <v>199</v>
      </c>
    </row>
    <row r="122" customFormat="false" ht="12.8" hidden="false" customHeight="false" outlineLevel="0" collapsed="false">
      <c r="M122" s="3" t="n">
        <v>1</v>
      </c>
      <c r="N122" s="3" t="s">
        <v>200</v>
      </c>
      <c r="O122" s="20" t="s">
        <v>201</v>
      </c>
      <c r="P122" s="9" t="n">
        <f aca="false">R111*O111+R114*O114+R115*O115+R116*O116</f>
        <v>1443.83333333333</v>
      </c>
      <c r="Q122" s="9" t="n">
        <f aca="false">B5*P122</f>
        <v>7219166.66666667</v>
      </c>
      <c r="R122" s="9" t="n">
        <f aca="false">R112*P112+R113*P113+R115*P115+R116*P116</f>
        <v>1324.08333333333</v>
      </c>
      <c r="S122" s="9" t="n">
        <f aca="false">B6*R122</f>
        <v>3310208.33333333</v>
      </c>
      <c r="T122" s="9" t="n">
        <f aca="false">Q122+S122</f>
        <v>10529375</v>
      </c>
      <c r="U122" s="9"/>
    </row>
    <row r="123" customFormat="false" ht="12.8" hidden="false" customHeight="false" outlineLevel="0" collapsed="false">
      <c r="M123" s="3" t="n">
        <v>2</v>
      </c>
      <c r="N123" s="3" t="s">
        <v>202</v>
      </c>
      <c r="O123" s="20" t="s">
        <v>203</v>
      </c>
      <c r="P123" s="9" t="n">
        <f aca="false">U63/B5</f>
        <v>5453.78554285714</v>
      </c>
      <c r="Q123" s="9" t="n">
        <f aca="false">U63</f>
        <v>27268927.7142857</v>
      </c>
      <c r="R123" s="9" t="n">
        <f aca="false">U64/B6</f>
        <v>7306.04725714286</v>
      </c>
      <c r="S123" s="9" t="n">
        <f aca="false">U64</f>
        <v>18265118.1428571</v>
      </c>
      <c r="T123" s="9" t="n">
        <f aca="false">Q123+S123</f>
        <v>45534045.8571429</v>
      </c>
      <c r="U123" s="9"/>
    </row>
    <row r="124" customFormat="false" ht="12.8" hidden="false" customHeight="false" outlineLevel="0" collapsed="false">
      <c r="M124" s="3" t="n">
        <v>3</v>
      </c>
      <c r="N124" s="3" t="s">
        <v>204</v>
      </c>
      <c r="O124" s="20" t="s">
        <v>205</v>
      </c>
      <c r="P124" s="9" t="n">
        <f aca="false">V63/B5</f>
        <v>545.378554285714</v>
      </c>
      <c r="Q124" s="9" t="n">
        <f aca="false">V63</f>
        <v>2726892.77142857</v>
      </c>
      <c r="R124" s="9" t="n">
        <f aca="false">V64/B6</f>
        <v>730.604725714286</v>
      </c>
      <c r="S124" s="9" t="n">
        <f aca="false">V64</f>
        <v>1826511.81428571</v>
      </c>
      <c r="T124" s="9" t="n">
        <f aca="false">Q124+S124</f>
        <v>4553404.58571429</v>
      </c>
      <c r="U124" s="9"/>
    </row>
    <row r="125" customFormat="false" ht="12.8" hidden="false" customHeight="false" outlineLevel="0" collapsed="false">
      <c r="M125" s="3" t="n">
        <v>4</v>
      </c>
      <c r="N125" s="3" t="s">
        <v>206</v>
      </c>
      <c r="O125" s="20" t="s">
        <v>207</v>
      </c>
      <c r="P125" s="9" t="n">
        <f aca="false">30%*SUM(P123:P124)</f>
        <v>1799.74922914286</v>
      </c>
      <c r="Q125" s="9" t="n">
        <f aca="false">30%*SUM(Q123:Q124)</f>
        <v>8998746.14571429</v>
      </c>
      <c r="R125" s="9" t="n">
        <f aca="false">30%*SUM(R123:R124)</f>
        <v>2410.99559485714</v>
      </c>
      <c r="S125" s="9" t="n">
        <f aca="false">30%*SUM(S123:S124)</f>
        <v>6027488.98714286</v>
      </c>
      <c r="T125" s="9" t="n">
        <f aca="false">Q125+S125</f>
        <v>15026235.1328571</v>
      </c>
      <c r="U125" s="9"/>
    </row>
    <row r="126" customFormat="false" ht="12.8" hidden="false" customHeight="false" outlineLevel="0" collapsed="false">
      <c r="M126" s="3" t="n">
        <v>5</v>
      </c>
      <c r="N126" s="3" t="s">
        <v>208</v>
      </c>
      <c r="O126" s="20" t="s">
        <v>209</v>
      </c>
      <c r="P126" s="9" t="n">
        <f aca="false">P123*$Q$162</f>
        <v>28467.8051968112</v>
      </c>
      <c r="Q126" s="9" t="n">
        <f aca="false">Q123*Q162</f>
        <v>142339025.984056</v>
      </c>
      <c r="R126" s="9" t="n">
        <f aca="false">R123*$Q$162</f>
        <v>38136.2868856187</v>
      </c>
      <c r="S126" s="9" t="n">
        <f aca="false">S123*$Q$162</f>
        <v>95340717.2140468</v>
      </c>
      <c r="T126" s="9" t="n">
        <f aca="false">Q126+S126</f>
        <v>237679743.198103</v>
      </c>
      <c r="U126" s="9" t="n">
        <f aca="false">P126*B5+R126*B6</f>
        <v>237679743.198103</v>
      </c>
    </row>
    <row r="127" customFormat="false" ht="23.85" hidden="false" customHeight="false" outlineLevel="0" collapsed="false">
      <c r="M127" s="3" t="n">
        <v>6</v>
      </c>
      <c r="N127" s="3" t="s">
        <v>210</v>
      </c>
      <c r="O127" s="21" t="s">
        <v>211</v>
      </c>
      <c r="P127" s="9" t="n">
        <f aca="false">SUM(P122:P126)</f>
        <v>37710.5518564303</v>
      </c>
      <c r="Q127" s="9" t="n">
        <f aca="false">SUM(Q122:Q126)</f>
        <v>188552759.282151</v>
      </c>
      <c r="R127" s="9" t="n">
        <f aca="false">SUM(R122:R126)</f>
        <v>49908.0177966663</v>
      </c>
      <c r="S127" s="9" t="n">
        <f aca="false">SUM(S122:S126)</f>
        <v>124770044.491666</v>
      </c>
      <c r="T127" s="9"/>
      <c r="U127" s="9"/>
    </row>
    <row r="128" customFormat="false" ht="12.8" hidden="false" customHeight="false" outlineLevel="0" collapsed="false">
      <c r="M128" s="3" t="n">
        <v>7</v>
      </c>
      <c r="N128" s="3" t="s">
        <v>212</v>
      </c>
      <c r="O128" s="20" t="s">
        <v>213</v>
      </c>
      <c r="P128" s="9" t="n">
        <f aca="false">15%*P127</f>
        <v>5656.58277846454</v>
      </c>
      <c r="Q128" s="9" t="n">
        <f aca="false">15%*Q127</f>
        <v>28282913.8923227</v>
      </c>
      <c r="R128" s="9" t="n">
        <f aca="false">15%*R127</f>
        <v>7486.20266949995</v>
      </c>
      <c r="S128" s="9" t="n">
        <f aca="false">15%*S127</f>
        <v>18715506.6737499</v>
      </c>
      <c r="T128" s="9"/>
      <c r="U128" s="9"/>
    </row>
    <row r="129" customFormat="false" ht="12.8" hidden="false" customHeight="false" outlineLevel="0" collapsed="false">
      <c r="M129" s="22" t="n">
        <v>8</v>
      </c>
      <c r="N129" s="22" t="s">
        <v>214</v>
      </c>
      <c r="O129" s="11" t="s">
        <v>215</v>
      </c>
      <c r="P129" s="9" t="n">
        <f aca="false">SUM(P127:P128)</f>
        <v>43367.1346348948</v>
      </c>
      <c r="Q129" s="9" t="n">
        <f aca="false">SUM(Q127:Q128)</f>
        <v>216835673.174474</v>
      </c>
      <c r="R129" s="9" t="n">
        <f aca="false">SUM(R127:R128)</f>
        <v>57394.2204661663</v>
      </c>
      <c r="S129" s="9" t="n">
        <f aca="false">SUM(S127:S128)</f>
        <v>143485551.165416</v>
      </c>
      <c r="T129" s="9"/>
      <c r="U129" s="9"/>
    </row>
    <row r="130" customFormat="false" ht="12.8" hidden="false" customHeight="false" outlineLevel="0" collapsed="false">
      <c r="M130" s="22"/>
      <c r="N130" s="22"/>
      <c r="O130" s="11" t="s">
        <v>216</v>
      </c>
      <c r="P130" s="9"/>
      <c r="Q130" s="9"/>
      <c r="R130" s="9"/>
      <c r="S130" s="9"/>
      <c r="T130" s="9"/>
      <c r="U130" s="9"/>
    </row>
    <row r="132" customFormat="false" ht="12.8" hidden="false" customHeight="false" outlineLevel="0" collapsed="false">
      <c r="N132" s="0" t="s">
        <v>217</v>
      </c>
    </row>
    <row r="133" customFormat="false" ht="35.05" hidden="false" customHeight="false" outlineLevel="0" collapsed="false">
      <c r="N133" s="14" t="s">
        <v>100</v>
      </c>
      <c r="O133" s="14" t="s">
        <v>218</v>
      </c>
      <c r="P133" s="14" t="s">
        <v>219</v>
      </c>
      <c r="Q133" s="14" t="s">
        <v>220</v>
      </c>
      <c r="R133" s="14" t="s">
        <v>221</v>
      </c>
      <c r="S133" s="14" t="s">
        <v>222</v>
      </c>
      <c r="T133" s="14" t="s">
        <v>223</v>
      </c>
      <c r="U133" s="3" t="s">
        <v>224</v>
      </c>
    </row>
    <row r="134" customFormat="false" ht="35.05" hidden="false" customHeight="false" outlineLevel="0" collapsed="false">
      <c r="N134" s="3"/>
      <c r="O134" s="3"/>
      <c r="P134" s="3"/>
      <c r="Q134" s="3"/>
      <c r="R134" s="3"/>
      <c r="S134" s="14" t="s">
        <v>225</v>
      </c>
      <c r="T134" s="3"/>
      <c r="U134" s="3"/>
    </row>
    <row r="135" customFormat="false" ht="12.8" hidden="false" customHeight="false" outlineLevel="0" collapsed="false">
      <c r="N135" s="3" t="n">
        <v>1</v>
      </c>
      <c r="O135" s="3" t="s">
        <v>183</v>
      </c>
      <c r="P135" s="0" t="s">
        <v>226</v>
      </c>
      <c r="Q135" s="0" t="n">
        <v>3.1</v>
      </c>
      <c r="R135" s="0" t="n">
        <f aca="false">Q111</f>
        <v>86</v>
      </c>
      <c r="S135" s="9" t="n">
        <f aca="false">R135/1.2</f>
        <v>71.6666666666667</v>
      </c>
      <c r="T135" s="9" t="n">
        <f aca="false">R135*Q135</f>
        <v>266.6</v>
      </c>
      <c r="U135" s="0" t="n">
        <f aca="false">SUM(T135:T140)</f>
        <v>1732.6</v>
      </c>
    </row>
    <row r="136" customFormat="false" ht="12.8" hidden="false" customHeight="false" outlineLevel="0" collapsed="false">
      <c r="N136" s="3" t="s">
        <v>21</v>
      </c>
      <c r="O136" s="3" t="s">
        <v>184</v>
      </c>
      <c r="P136" s="0" t="s">
        <v>226</v>
      </c>
      <c r="R136" s="0" t="n">
        <f aca="false">Q112</f>
        <v>47</v>
      </c>
      <c r="S136" s="9" t="n">
        <f aca="false">R136/1.2</f>
        <v>39.1666666666667</v>
      </c>
      <c r="T136" s="9" t="n">
        <f aca="false">R136*Q136</f>
        <v>0</v>
      </c>
    </row>
    <row r="137" customFormat="false" ht="12.8" hidden="false" customHeight="false" outlineLevel="0" collapsed="false">
      <c r="N137" s="3"/>
      <c r="O137" s="3" t="s">
        <v>185</v>
      </c>
      <c r="P137" s="0" t="s">
        <v>226</v>
      </c>
      <c r="R137" s="0" t="n">
        <f aca="false">Q113</f>
        <v>50</v>
      </c>
      <c r="S137" s="9" t="n">
        <f aca="false">R137/1.2</f>
        <v>41.6666666666667</v>
      </c>
      <c r="T137" s="9" t="n">
        <f aca="false">R137*Q137</f>
        <v>0</v>
      </c>
    </row>
    <row r="138" customFormat="false" ht="12.8" hidden="false" customHeight="false" outlineLevel="0" collapsed="false">
      <c r="N138" s="3"/>
      <c r="O138" s="3" t="s">
        <v>186</v>
      </c>
      <c r="P138" s="0" t="s">
        <v>227</v>
      </c>
      <c r="Q138" s="0" t="n">
        <v>12</v>
      </c>
      <c r="R138" s="0" t="n">
        <f aca="false">Q114</f>
        <v>57</v>
      </c>
      <c r="S138" s="9" t="n">
        <f aca="false">R138/1.2</f>
        <v>47.5</v>
      </c>
      <c r="T138" s="9" t="n">
        <f aca="false">R138*Q138</f>
        <v>684</v>
      </c>
    </row>
    <row r="139" customFormat="false" ht="12.8" hidden="false" customHeight="false" outlineLevel="0" collapsed="false">
      <c r="N139" s="3"/>
      <c r="O139" s="3" t="s">
        <v>187</v>
      </c>
      <c r="P139" s="0" t="s">
        <v>227</v>
      </c>
      <c r="Q139" s="0" t="n">
        <v>6</v>
      </c>
      <c r="R139" s="0" t="n">
        <f aca="false">Q115</f>
        <v>65</v>
      </c>
      <c r="S139" s="9" t="n">
        <f aca="false">R139/1.2</f>
        <v>54.1666666666667</v>
      </c>
      <c r="T139" s="9" t="n">
        <f aca="false">R139*Q139</f>
        <v>390</v>
      </c>
    </row>
    <row r="140" customFormat="false" ht="12.8" hidden="false" customHeight="false" outlineLevel="0" collapsed="false">
      <c r="N140" s="3"/>
      <c r="O140" s="3" t="s">
        <v>188</v>
      </c>
      <c r="P140" s="0" t="s">
        <v>227</v>
      </c>
      <c r="Q140" s="0" t="n">
        <v>8</v>
      </c>
      <c r="R140" s="0" t="n">
        <f aca="false">Q116</f>
        <v>49</v>
      </c>
      <c r="S140" s="9" t="n">
        <f aca="false">R140/1.2</f>
        <v>40.8333333333333</v>
      </c>
      <c r="T140" s="9" t="n">
        <f aca="false">R140*Q140</f>
        <v>392</v>
      </c>
    </row>
    <row r="141" customFormat="false" ht="12.8" hidden="false" customHeight="false" outlineLevel="0" collapsed="false">
      <c r="N141" s="3" t="n">
        <v>2</v>
      </c>
      <c r="O141" s="3" t="s">
        <v>183</v>
      </c>
      <c r="P141" s="0" t="s">
        <v>226</v>
      </c>
      <c r="R141" s="0" t="n">
        <f aca="false">Q111</f>
        <v>86</v>
      </c>
      <c r="S141" s="9" t="n">
        <f aca="false">R141/1.2</f>
        <v>71.6666666666667</v>
      </c>
      <c r="T141" s="9" t="n">
        <f aca="false">R141*Q141</f>
        <v>0</v>
      </c>
      <c r="U141" s="0" t="n">
        <f aca="false">SUM(T141:T146)</f>
        <v>1588.9</v>
      </c>
    </row>
    <row r="142" customFormat="false" ht="12.8" hidden="false" customHeight="false" outlineLevel="0" collapsed="false">
      <c r="N142" s="3" t="s">
        <v>24</v>
      </c>
      <c r="O142" s="3" t="s">
        <v>184</v>
      </c>
      <c r="P142" s="0" t="s">
        <v>226</v>
      </c>
      <c r="Q142" s="0" t="n">
        <v>5.7</v>
      </c>
      <c r="R142" s="0" t="n">
        <f aca="false">Q112</f>
        <v>47</v>
      </c>
      <c r="S142" s="9" t="n">
        <f aca="false">R142/1.2</f>
        <v>39.1666666666667</v>
      </c>
      <c r="T142" s="9" t="n">
        <f aca="false">R142*Q142</f>
        <v>267.9</v>
      </c>
    </row>
    <row r="143" customFormat="false" ht="12.8" hidden="false" customHeight="false" outlineLevel="0" collapsed="false">
      <c r="N143" s="3"/>
      <c r="O143" s="3" t="s">
        <v>185</v>
      </c>
      <c r="P143" s="0" t="s">
        <v>226</v>
      </c>
      <c r="Q143" s="0" t="n">
        <v>7.2</v>
      </c>
      <c r="R143" s="0" t="n">
        <f aca="false">Q113</f>
        <v>50</v>
      </c>
      <c r="S143" s="9" t="n">
        <f aca="false">R143/1.2</f>
        <v>41.6666666666667</v>
      </c>
      <c r="T143" s="9" t="n">
        <f aca="false">R143*Q143</f>
        <v>360</v>
      </c>
    </row>
    <row r="144" customFormat="false" ht="12.8" hidden="false" customHeight="false" outlineLevel="0" collapsed="false">
      <c r="N144" s="3"/>
      <c r="O144" s="3" t="s">
        <v>186</v>
      </c>
      <c r="P144" s="0" t="s">
        <v>227</v>
      </c>
      <c r="R144" s="0" t="n">
        <f aca="false">Q114</f>
        <v>57</v>
      </c>
      <c r="S144" s="9" t="n">
        <f aca="false">R144/1.2</f>
        <v>47.5</v>
      </c>
      <c r="T144" s="9" t="n">
        <f aca="false">R144*Q144</f>
        <v>0</v>
      </c>
    </row>
    <row r="145" customFormat="false" ht="12.8" hidden="false" customHeight="false" outlineLevel="0" collapsed="false">
      <c r="N145" s="3"/>
      <c r="O145" s="3" t="s">
        <v>187</v>
      </c>
      <c r="P145" s="0" t="s">
        <v>227</v>
      </c>
      <c r="Q145" s="0" t="n">
        <v>8</v>
      </c>
      <c r="R145" s="0" t="n">
        <f aca="false">Q115</f>
        <v>65</v>
      </c>
      <c r="S145" s="9" t="n">
        <f aca="false">R145/1.2</f>
        <v>54.1666666666667</v>
      </c>
      <c r="T145" s="9" t="n">
        <f aca="false">R145*Q145</f>
        <v>520</v>
      </c>
    </row>
    <row r="146" customFormat="false" ht="12.8" hidden="false" customHeight="false" outlineLevel="0" collapsed="false">
      <c r="N146" s="3"/>
      <c r="O146" s="3" t="s">
        <v>188</v>
      </c>
      <c r="P146" s="0" t="s">
        <v>227</v>
      </c>
      <c r="Q146" s="0" t="n">
        <v>9</v>
      </c>
      <c r="R146" s="0" t="n">
        <f aca="false">Q116</f>
        <v>49</v>
      </c>
      <c r="S146" s="9" t="n">
        <f aca="false">R146/1.2</f>
        <v>40.8333333333333</v>
      </c>
      <c r="T146" s="9" t="n">
        <f aca="false">R146*Q146</f>
        <v>441</v>
      </c>
    </row>
    <row r="147" customFormat="false" ht="12.8" hidden="false" customHeight="false" outlineLevel="0" collapsed="false">
      <c r="N147" s="3"/>
    </row>
    <row r="150" customFormat="false" ht="12.8" hidden="false" customHeight="false" outlineLevel="0" collapsed="false">
      <c r="N150" s="0" t="s">
        <v>228</v>
      </c>
      <c r="U150" s="3" t="s">
        <v>229</v>
      </c>
    </row>
    <row r="151" customFormat="false" ht="22.35" hidden="false" customHeight="true" outlineLevel="0" collapsed="false">
      <c r="N151" s="14" t="s">
        <v>100</v>
      </c>
      <c r="O151" s="14" t="s">
        <v>230</v>
      </c>
      <c r="P151" s="3"/>
      <c r="Q151" s="14" t="s">
        <v>231</v>
      </c>
      <c r="U151" s="1" t="n">
        <v>1</v>
      </c>
      <c r="V151" s="3" t="s">
        <v>232</v>
      </c>
      <c r="W151" s="3" t="s">
        <v>233</v>
      </c>
    </row>
    <row r="152" customFormat="false" ht="17.9" hidden="false" customHeight="true" outlineLevel="0" collapsed="false">
      <c r="N152" s="14" t="s">
        <v>234</v>
      </c>
      <c r="O152" s="5" t="s">
        <v>235</v>
      </c>
      <c r="P152" s="14"/>
      <c r="Q152" s="0" t="n">
        <f aca="false">SUM(Q153:Q156)</f>
        <v>42841667.4726857</v>
      </c>
      <c r="V152" s="9" t="n">
        <f aca="false">T126</f>
        <v>237679743.198103</v>
      </c>
      <c r="W152" s="9" t="n">
        <f aca="false">Q160</f>
        <v>237679743.198103</v>
      </c>
    </row>
    <row r="153" customFormat="false" ht="17.9" hidden="false" customHeight="true" outlineLevel="0" collapsed="false">
      <c r="N153" s="3" t="s">
        <v>114</v>
      </c>
      <c r="O153" s="3" t="s">
        <v>236</v>
      </c>
      <c r="P153" s="3"/>
      <c r="Q153" s="0" t="n">
        <f aca="false">AI75</f>
        <v>8117580.24</v>
      </c>
    </row>
    <row r="154" customFormat="false" ht="12.8" hidden="false" customHeight="false" outlineLevel="0" collapsed="false">
      <c r="N154" s="3" t="s">
        <v>118</v>
      </c>
      <c r="O154" s="3" t="s">
        <v>237</v>
      </c>
      <c r="P154" s="3"/>
      <c r="Q154" s="0" t="n">
        <f aca="false">AI79</f>
        <v>14645634.3</v>
      </c>
      <c r="U154" s="1" t="n">
        <v>2</v>
      </c>
      <c r="V154" s="3" t="s">
        <v>238</v>
      </c>
      <c r="W154" s="3" t="s">
        <v>239</v>
      </c>
    </row>
    <row r="155" customFormat="false" ht="12.8" hidden="false" customHeight="false" outlineLevel="0" collapsed="false">
      <c r="N155" s="3" t="s">
        <v>121</v>
      </c>
      <c r="O155" s="3" t="s">
        <v>240</v>
      </c>
      <c r="P155" s="3"/>
      <c r="Q155" s="9" t="n">
        <f aca="false">AI89</f>
        <v>9987022.98</v>
      </c>
      <c r="U155" s="3" t="s">
        <v>85</v>
      </c>
      <c r="V155" s="9" t="n">
        <f aca="false">P129*B5</f>
        <v>216835673.174474</v>
      </c>
      <c r="W155" s="9" t="n">
        <f aca="false">Q129</f>
        <v>216835673.174474</v>
      </c>
    </row>
    <row r="156" customFormat="false" ht="12.8" hidden="false" customHeight="false" outlineLevel="0" collapsed="false">
      <c r="N156" s="3" t="s">
        <v>241</v>
      </c>
      <c r="O156" s="3" t="s">
        <v>242</v>
      </c>
      <c r="P156" s="3"/>
      <c r="Q156" s="9" t="n">
        <f aca="false">X71</f>
        <v>10091429.9526857</v>
      </c>
      <c r="U156" s="3" t="s">
        <v>243</v>
      </c>
      <c r="V156" s="9" t="n">
        <f aca="false">R129*B6</f>
        <v>143485551.165416</v>
      </c>
      <c r="W156" s="9" t="n">
        <f aca="false">S129</f>
        <v>143485551.165416</v>
      </c>
    </row>
    <row r="157" customFormat="false" ht="12.8" hidden="false" customHeight="false" outlineLevel="0" collapsed="false">
      <c r="N157" s="14" t="n">
        <v>2</v>
      </c>
      <c r="O157" s="14" t="s">
        <v>244</v>
      </c>
      <c r="P157" s="14"/>
      <c r="Q157" s="9" t="n">
        <f aca="false">Q152*30%</f>
        <v>12852500.2418057</v>
      </c>
    </row>
    <row r="158" customFormat="false" ht="12.8" hidden="false" customHeight="false" outlineLevel="0" collapsed="false">
      <c r="N158" s="14" t="n">
        <v>3</v>
      </c>
      <c r="O158" s="14" t="s">
        <v>245</v>
      </c>
      <c r="P158" s="14"/>
      <c r="Q158" s="9" t="n">
        <f aca="false">SUM(S166:S174)</f>
        <v>156280575</v>
      </c>
    </row>
    <row r="159" customFormat="false" ht="12.8" hidden="false" customHeight="false" outlineLevel="0" collapsed="false">
      <c r="N159" s="14" t="n">
        <v>4</v>
      </c>
      <c r="O159" s="14" t="s">
        <v>246</v>
      </c>
      <c r="P159" s="14"/>
      <c r="Q159" s="9" t="n">
        <f aca="false">0.6*Q152</f>
        <v>25705000.4836114</v>
      </c>
    </row>
    <row r="160" customFormat="false" ht="17.2" hidden="false" customHeight="true" outlineLevel="0" collapsed="false">
      <c r="N160" s="14" t="n">
        <v>5</v>
      </c>
      <c r="O160" s="14" t="s">
        <v>247</v>
      </c>
      <c r="P160" s="14"/>
      <c r="Q160" s="9" t="n">
        <f aca="false">SUM(Q153:Q159)</f>
        <v>237679743.198103</v>
      </c>
    </row>
    <row r="161" customFormat="false" ht="23.85" hidden="false" customHeight="false" outlineLevel="0" collapsed="false">
      <c r="N161" s="14" t="n">
        <v>6</v>
      </c>
      <c r="O161" s="14" t="s">
        <v>248</v>
      </c>
      <c r="P161" s="14"/>
      <c r="Q161" s="9" t="n">
        <f aca="false">U65</f>
        <v>45534045.8571429</v>
      </c>
    </row>
    <row r="162" customFormat="false" ht="23.85" hidden="false" customHeight="false" outlineLevel="0" collapsed="false">
      <c r="N162" s="14" t="n">
        <v>7</v>
      </c>
      <c r="O162" s="14" t="s">
        <v>249</v>
      </c>
      <c r="P162" s="14"/>
      <c r="Q162" s="7" t="n">
        <f aca="false">(Q160/Q161)</f>
        <v>5.21982483049699</v>
      </c>
    </row>
    <row r="164" customFormat="false" ht="12.8" hidden="false" customHeight="false" outlineLevel="0" collapsed="false">
      <c r="N164" s="0" t="s">
        <v>250</v>
      </c>
    </row>
    <row r="165" customFormat="false" ht="57.45" hidden="false" customHeight="false" outlineLevel="0" collapsed="false">
      <c r="N165" s="14" t="s">
        <v>100</v>
      </c>
      <c r="O165" s="14" t="s">
        <v>251</v>
      </c>
      <c r="P165" s="14" t="s">
        <v>252</v>
      </c>
      <c r="Q165" s="14" t="s">
        <v>253</v>
      </c>
      <c r="R165" s="14" t="s">
        <v>254</v>
      </c>
      <c r="S165" s="14" t="s">
        <v>255</v>
      </c>
    </row>
    <row r="166" customFormat="false" ht="12.8" hidden="false" customHeight="false" outlineLevel="0" collapsed="false">
      <c r="N166" s="3" t="s">
        <v>234</v>
      </c>
      <c r="O166" s="3" t="s">
        <v>256</v>
      </c>
      <c r="P166" s="3" t="n">
        <v>7</v>
      </c>
      <c r="Q166" s="3" t="n">
        <v>16</v>
      </c>
      <c r="R166" s="0" t="n">
        <f aca="false">O106</f>
        <v>310345200</v>
      </c>
      <c r="S166" s="9" t="n">
        <f aca="false">R166/Q166</f>
        <v>19396575</v>
      </c>
    </row>
    <row r="167" customFormat="false" ht="12.8" hidden="false" customHeight="false" outlineLevel="0" collapsed="false">
      <c r="N167" s="3" t="s">
        <v>257</v>
      </c>
      <c r="O167" s="3" t="s">
        <v>258</v>
      </c>
      <c r="P167" s="3" t="n">
        <v>6</v>
      </c>
      <c r="Q167" s="3" t="n">
        <v>12</v>
      </c>
      <c r="R167" s="0" t="n">
        <f aca="false">O101</f>
        <v>161568000</v>
      </c>
      <c r="S167" s="0" t="n">
        <f aca="false">R167/Q167</f>
        <v>13464000</v>
      </c>
    </row>
    <row r="168" customFormat="false" ht="12.8" hidden="false" customHeight="false" outlineLevel="0" collapsed="false">
      <c r="N168" s="3" t="s">
        <v>259</v>
      </c>
      <c r="O168" s="3" t="s">
        <v>260</v>
      </c>
      <c r="P168" s="3" t="n">
        <v>5</v>
      </c>
      <c r="Q168" s="3" t="n">
        <v>8</v>
      </c>
      <c r="R168" s="0" t="n">
        <f aca="false">R100</f>
        <v>168300000</v>
      </c>
      <c r="S168" s="0" t="n">
        <f aca="false">R168/Q168</f>
        <v>21037500</v>
      </c>
    </row>
    <row r="169" customFormat="false" ht="12.8" hidden="false" customHeight="false" outlineLevel="0" collapsed="false">
      <c r="N169" s="3" t="s">
        <v>261</v>
      </c>
      <c r="O169" s="3" t="s">
        <v>262</v>
      </c>
      <c r="P169" s="3" t="n">
        <v>5</v>
      </c>
      <c r="Q169" s="3" t="n">
        <v>8</v>
      </c>
      <c r="R169" s="0" t="n">
        <f aca="false">R101</f>
        <v>33660000</v>
      </c>
      <c r="S169" s="0" t="n">
        <f aca="false">R169/Q169</f>
        <v>4207500</v>
      </c>
    </row>
    <row r="170" customFormat="false" ht="12.8" hidden="false" customHeight="false" outlineLevel="0" collapsed="false">
      <c r="N170" s="3" t="s">
        <v>263</v>
      </c>
      <c r="O170" s="3" t="s">
        <v>264</v>
      </c>
      <c r="P170" s="3" t="n">
        <v>4</v>
      </c>
      <c r="Q170" s="3" t="n">
        <v>6</v>
      </c>
      <c r="R170" s="0" t="n">
        <f aca="false">O103</f>
        <v>16830000</v>
      </c>
      <c r="S170" s="0" t="n">
        <f aca="false">R170/Q170</f>
        <v>2805000</v>
      </c>
    </row>
    <row r="171" customFormat="false" ht="12.8" hidden="false" customHeight="false" outlineLevel="0" collapsed="false">
      <c r="N171" s="3" t="s">
        <v>265</v>
      </c>
      <c r="O171" s="3" t="s">
        <v>266</v>
      </c>
      <c r="P171" s="3" t="n">
        <v>3</v>
      </c>
      <c r="Q171" s="3" t="n">
        <v>4</v>
      </c>
      <c r="R171" s="0" t="n">
        <f aca="false">O104</f>
        <v>29172000</v>
      </c>
      <c r="S171" s="0" t="n">
        <f aca="false">R171/Q171</f>
        <v>7293000</v>
      </c>
    </row>
    <row r="172" customFormat="false" ht="12.8" hidden="false" customHeight="false" outlineLevel="0" collapsed="false">
      <c r="N172" s="3" t="s">
        <v>267</v>
      </c>
      <c r="O172" s="3" t="s">
        <v>268</v>
      </c>
      <c r="P172" s="3" t="n">
        <v>2</v>
      </c>
      <c r="Q172" s="3" t="n">
        <v>2</v>
      </c>
      <c r="R172" s="0" t="n">
        <f aca="false">R98</f>
        <v>67320000</v>
      </c>
      <c r="S172" s="0" t="n">
        <f aca="false">R172/Q172</f>
        <v>33660000</v>
      </c>
    </row>
    <row r="173" customFormat="false" ht="12.8" hidden="false" customHeight="false" outlineLevel="0" collapsed="false">
      <c r="N173" s="3" t="s">
        <v>269</v>
      </c>
      <c r="O173" s="3" t="s">
        <v>270</v>
      </c>
      <c r="P173" s="3" t="n">
        <v>2</v>
      </c>
      <c r="Q173" s="3" t="n">
        <v>2</v>
      </c>
      <c r="R173" s="0" t="n">
        <f aca="false">R99</f>
        <v>100980000</v>
      </c>
      <c r="S173" s="0" t="n">
        <f aca="false">R173/Q173</f>
        <v>50490000</v>
      </c>
    </row>
    <row r="174" customFormat="false" ht="12.8" hidden="false" customHeight="false" outlineLevel="0" collapsed="false">
      <c r="N174" s="3" t="s">
        <v>271</v>
      </c>
      <c r="O174" s="3" t="s">
        <v>272</v>
      </c>
      <c r="P174" s="3" t="n">
        <v>2</v>
      </c>
      <c r="Q174" s="3" t="n">
        <v>2</v>
      </c>
      <c r="R174" s="0" t="n">
        <f aca="false">O105</f>
        <v>7854000</v>
      </c>
      <c r="S174" s="0" t="n">
        <f aca="false">R174/Q174</f>
        <v>3927000</v>
      </c>
    </row>
    <row r="177" customFormat="false" ht="12.8" hidden="false" customHeight="false" outlineLevel="0" collapsed="false">
      <c r="N177" s="5" t="s">
        <v>273</v>
      </c>
      <c r="O177" s="3" t="s">
        <v>21</v>
      </c>
      <c r="P177" s="3" t="s">
        <v>24</v>
      </c>
    </row>
    <row r="178" customFormat="false" ht="12.8" hidden="false" customHeight="false" outlineLevel="0" collapsed="false">
      <c r="N178" s="3" t="s">
        <v>274</v>
      </c>
      <c r="O178" s="2" t="n">
        <f aca="false">_xlfn.CEILING.MATH((B5*C5)/365)</f>
        <v>2261</v>
      </c>
      <c r="P178" s="2" t="n">
        <f aca="false">_xlfn.CEILING.MATH((B6*C6)/365)</f>
        <v>959</v>
      </c>
      <c r="S178" s="11" t="s">
        <v>229</v>
      </c>
      <c r="T178" s="3" t="s">
        <v>275</v>
      </c>
      <c r="U178" s="3" t="s">
        <v>276</v>
      </c>
    </row>
    <row r="179" customFormat="false" ht="12.8" hidden="false" customHeight="false" outlineLevel="0" collapsed="false">
      <c r="N179" s="3" t="s">
        <v>277</v>
      </c>
      <c r="O179" s="6" t="n">
        <f aca="false">(Q126+Q128)/O178+P122+P123+P124+P125</f>
        <v>84705.7895063147</v>
      </c>
      <c r="P179" s="6" t="n">
        <f aca="false">(S128+S126)/P178+R122+R123+R124+R125</f>
        <v>130704.185434298</v>
      </c>
      <c r="S179" s="3" t="s">
        <v>278</v>
      </c>
      <c r="T179" s="9" t="n">
        <f aca="false">O178*O179</f>
        <v>191519790.073777</v>
      </c>
      <c r="U179" s="9" t="n">
        <f aca="false">P178*P179</f>
        <v>125345313.831491</v>
      </c>
    </row>
    <row r="180" customFormat="false" ht="12.8" hidden="false" customHeight="false" outlineLevel="0" collapsed="false">
      <c r="N180" s="3" t="s">
        <v>279</v>
      </c>
      <c r="O180" s="6" t="n">
        <f aca="false">(Q126+Q128)/(O179-(P122+P123+P124+P125))</f>
        <v>2261</v>
      </c>
      <c r="P180" s="6" t="n">
        <f aca="false">(S128+S126)/(P179-(R122+R123+R124+R125))</f>
        <v>959</v>
      </c>
      <c r="S180" s="3" t="s">
        <v>280</v>
      </c>
      <c r="T180" s="9" t="n">
        <f aca="false">R195*1000</f>
        <v>191519790.073777</v>
      </c>
      <c r="U180" s="9" t="n">
        <f aca="false">R198*1000</f>
        <v>125345313.831491</v>
      </c>
    </row>
    <row r="181" customFormat="false" ht="12.8" hidden="false" customHeight="false" outlineLevel="0" collapsed="false">
      <c r="N181" s="0" t="s">
        <v>281</v>
      </c>
    </row>
    <row r="182" customFormat="false" ht="12.8" hidden="false" customHeight="false" outlineLevel="0" collapsed="false">
      <c r="N182" s="3" t="s">
        <v>282</v>
      </c>
      <c r="O182" s="3" t="s">
        <v>21</v>
      </c>
      <c r="P182" s="3" t="s">
        <v>24</v>
      </c>
      <c r="Q182" s="3" t="s">
        <v>109</v>
      </c>
      <c r="S182" s="3" t="s">
        <v>283</v>
      </c>
      <c r="T182" s="7" t="n">
        <f aca="false">(O179-P129)/P129</f>
        <v>0.953225414117105</v>
      </c>
      <c r="U182" s="7" t="n">
        <f aca="false">(P179-R129)/R129</f>
        <v>1.2773057003422</v>
      </c>
    </row>
    <row r="183" customFormat="false" ht="12.8" hidden="false" customHeight="false" outlineLevel="0" collapsed="false">
      <c r="N183" s="3" t="s">
        <v>284</v>
      </c>
      <c r="O183" s="10" t="n">
        <f aca="false">O179*B5</f>
        <v>423528947.531573</v>
      </c>
      <c r="P183" s="10" t="n">
        <f aca="false">P179*B6</f>
        <v>326760463.585744</v>
      </c>
      <c r="Q183" s="10" t="n">
        <f aca="false">SUM(O183:P183)</f>
        <v>750289411.117317</v>
      </c>
      <c r="S183" s="3" t="s">
        <v>277</v>
      </c>
      <c r="T183" s="9" t="n">
        <f aca="false">(1+O188)*P129</f>
        <v>84705.7895063147</v>
      </c>
      <c r="U183" s="9" t="n">
        <f aca="false">(1+P188)*R129</f>
        <v>130704.185434298</v>
      </c>
    </row>
    <row r="184" customFormat="false" ht="12.8" hidden="false" customHeight="false" outlineLevel="0" collapsed="false">
      <c r="N184" s="3" t="s">
        <v>285</v>
      </c>
      <c r="O184" s="10" t="n">
        <f aca="false">O183-(Q122+Q123+Q124+Q125)</f>
        <v>377315214.233478</v>
      </c>
      <c r="P184" s="10" t="n">
        <f aca="false">P183-(S122+S123+S124+S125)</f>
        <v>297331136.308125</v>
      </c>
      <c r="Q184" s="10" t="n">
        <f aca="false">SUM(O184:P184)</f>
        <v>674646350.541603</v>
      </c>
    </row>
    <row r="185" customFormat="false" ht="12.8" hidden="false" customHeight="false" outlineLevel="0" collapsed="false">
      <c r="N185" s="3" t="s">
        <v>286</v>
      </c>
      <c r="O185" s="10" t="n">
        <f aca="false">O184-(Q126+Q128)</f>
        <v>206693274.357099</v>
      </c>
      <c r="P185" s="10" t="n">
        <f aca="false">P184-(S126+S128)</f>
        <v>183274912.420328</v>
      </c>
      <c r="Q185" s="10" t="n">
        <f aca="false">SUM(O185:P185)</f>
        <v>389968186.777427</v>
      </c>
    </row>
    <row r="186" customFormat="false" ht="12.8" hidden="false" customHeight="false" outlineLevel="0" collapsed="false">
      <c r="N186" s="3" t="s">
        <v>287</v>
      </c>
      <c r="O186" s="10" t="n">
        <f aca="false">O185-O187</f>
        <v>155019955.767825</v>
      </c>
      <c r="P186" s="10" t="n">
        <f aca="false">P185-P187</f>
        <v>137456184.315246</v>
      </c>
      <c r="Q186" s="10" t="n">
        <f aca="false">SUM(O186:P186)</f>
        <v>292476140.083071</v>
      </c>
    </row>
    <row r="187" customFormat="false" ht="12.8" hidden="false" customHeight="false" outlineLevel="0" collapsed="false">
      <c r="N187" s="3" t="s">
        <v>288</v>
      </c>
      <c r="O187" s="10" t="n">
        <f aca="false">25%*O185</f>
        <v>51673318.5892748</v>
      </c>
      <c r="P187" s="10" t="n">
        <f aca="false">25%*P185</f>
        <v>45818728.105082</v>
      </c>
      <c r="Q187" s="10" t="n">
        <f aca="false">SUM(O187:P187)</f>
        <v>97492046.6943568</v>
      </c>
    </row>
    <row r="188" customFormat="false" ht="12.8" hidden="false" customHeight="false" outlineLevel="0" collapsed="false">
      <c r="N188" s="3" t="s">
        <v>289</v>
      </c>
      <c r="O188" s="4" t="n">
        <f aca="false">O185/(Q126+Q128+Q122+Q123+Q124+Q125)</f>
        <v>0.953225414117105</v>
      </c>
      <c r="P188" s="4" t="n">
        <f aca="false">P185/(S126+S128+S122+S123+S124+S125)</f>
        <v>1.2773057003422</v>
      </c>
      <c r="Q188" s="23"/>
    </row>
    <row r="189" customFormat="false" ht="12.8" hidden="false" customHeight="false" outlineLevel="0" collapsed="false">
      <c r="N189" s="3" t="s">
        <v>290</v>
      </c>
      <c r="O189" s="4" t="n">
        <f aca="false">O185/O183</f>
        <v>0.488026321605067</v>
      </c>
      <c r="P189" s="24" t="n">
        <f aca="false">P185/P183</f>
        <v>0.560884601549219</v>
      </c>
      <c r="Q189" s="24"/>
    </row>
    <row r="192" customFormat="false" ht="12.8" hidden="false" customHeight="false" outlineLevel="0" collapsed="false">
      <c r="N192" s="3" t="s">
        <v>291</v>
      </c>
    </row>
    <row r="193" customFormat="false" ht="12.8" hidden="false" customHeight="false" outlineLevel="0" collapsed="false">
      <c r="N193" s="3" t="s">
        <v>292</v>
      </c>
      <c r="O193" s="3" t="s">
        <v>293</v>
      </c>
      <c r="P193" s="3" t="s">
        <v>294</v>
      </c>
      <c r="Q193" s="3" t="s">
        <v>295</v>
      </c>
      <c r="R193" s="3" t="s">
        <v>296</v>
      </c>
      <c r="S193" s="25" t="s">
        <v>297</v>
      </c>
      <c r="T193" s="3" t="s">
        <v>298</v>
      </c>
      <c r="U193" s="3" t="s">
        <v>299</v>
      </c>
    </row>
    <row r="194" customFormat="false" ht="12.8" hidden="false" customHeight="false" outlineLevel="0" collapsed="false">
      <c r="M194" s="3" t="s">
        <v>21</v>
      </c>
      <c r="N194" s="5" t="n">
        <v>0</v>
      </c>
      <c r="O194" s="10" t="n">
        <f aca="false">(P122+P123+P124+P125)/1000</f>
        <v>9.24274665961905</v>
      </c>
      <c r="P194" s="0" t="n">
        <v>0</v>
      </c>
      <c r="Q194" s="9" t="n">
        <f aca="false">(Q126+Q128)/1000</f>
        <v>170621.939876379</v>
      </c>
      <c r="R194" s="9" t="n">
        <f aca="false">(Q194+P194)</f>
        <v>170621.939876379</v>
      </c>
      <c r="S194" s="8" t="n">
        <f aca="false">O179</f>
        <v>84705.7895063147</v>
      </c>
      <c r="T194" s="0" t="n">
        <v>0</v>
      </c>
      <c r="U194" s="26" t="n">
        <v>0</v>
      </c>
    </row>
    <row r="195" customFormat="false" ht="12.8" hidden="false" customHeight="false" outlineLevel="0" collapsed="false">
      <c r="N195" s="5" t="s">
        <v>300</v>
      </c>
      <c r="O195" s="10"/>
      <c r="P195" s="9" t="n">
        <f aca="false">(O194*O178)</f>
        <v>20897.8501973987</v>
      </c>
      <c r="Q195" s="9" t="n">
        <f aca="false">(Q126+Q128)/1000</f>
        <v>170621.939876379</v>
      </c>
      <c r="R195" s="9" t="n">
        <f aca="false">(Q194+P195)</f>
        <v>191519.790073777</v>
      </c>
      <c r="S195" s="8"/>
      <c r="T195" s="9" t="n">
        <f aca="false">(S194*O178)</f>
        <v>191519790.073777</v>
      </c>
      <c r="U195" s="26" t="n">
        <f aca="false">O178</f>
        <v>2261</v>
      </c>
    </row>
    <row r="196" customFormat="false" ht="12.8" hidden="false" customHeight="false" outlineLevel="0" collapsed="false">
      <c r="N196" s="5" t="s">
        <v>301</v>
      </c>
      <c r="O196" s="10"/>
      <c r="P196" s="9" t="n">
        <f aca="false">(O194*B5)</f>
        <v>46213.7332980952</v>
      </c>
      <c r="Q196" s="9" t="n">
        <f aca="false">(Q126+Q128)/1000</f>
        <v>170621.939876379</v>
      </c>
      <c r="R196" s="9" t="n">
        <f aca="false">(Q194+P196)</f>
        <v>216835.673174474</v>
      </c>
      <c r="S196" s="8"/>
      <c r="T196" s="9" t="n">
        <f aca="false">(S194*B5)</f>
        <v>423528947.531573</v>
      </c>
      <c r="U196" s="26" t="n">
        <f aca="false">B5</f>
        <v>5000</v>
      </c>
    </row>
    <row r="197" customFormat="false" ht="12.8" hidden="false" customHeight="false" outlineLevel="0" collapsed="false">
      <c r="M197" s="3" t="s">
        <v>24</v>
      </c>
      <c r="N197" s="5" t="n">
        <v>0</v>
      </c>
      <c r="O197" s="10" t="n">
        <f aca="false">(R122+R123+R124+R125)/1000</f>
        <v>11.7717309110476</v>
      </c>
      <c r="P197" s="0" t="n">
        <v>0</v>
      </c>
      <c r="Q197" s="9" t="n">
        <f aca="false">(S126+S128)/1000</f>
        <v>114056.223887797</v>
      </c>
      <c r="R197" s="9" t="n">
        <f aca="false">(Q197+P197)</f>
        <v>114056.223887797</v>
      </c>
      <c r="S197" s="8" t="n">
        <f aca="false">P179</f>
        <v>130704.185434298</v>
      </c>
      <c r="T197" s="0" t="n">
        <v>0</v>
      </c>
      <c r="U197" s="0" t="n">
        <v>0</v>
      </c>
    </row>
    <row r="198" customFormat="false" ht="12.8" hidden="false" customHeight="false" outlineLevel="0" collapsed="false">
      <c r="N198" s="5" t="s">
        <v>302</v>
      </c>
      <c r="O198" s="10"/>
      <c r="P198" s="9" t="n">
        <f aca="false">(O197*P178)</f>
        <v>11289.0899436947</v>
      </c>
      <c r="Q198" s="9" t="n">
        <f aca="false">(S126+S128)/1000</f>
        <v>114056.223887797</v>
      </c>
      <c r="R198" s="9" t="n">
        <f aca="false">(Q197+P198)</f>
        <v>125345.313831491</v>
      </c>
      <c r="S198" s="8"/>
      <c r="T198" s="9" t="n">
        <f aca="false">(S197*P178)</f>
        <v>125345313.831491</v>
      </c>
      <c r="U198" s="26" t="n">
        <f aca="false">P178</f>
        <v>959</v>
      </c>
    </row>
    <row r="199" customFormat="false" ht="12.8" hidden="false" customHeight="false" outlineLevel="0" collapsed="false">
      <c r="N199" s="5" t="s">
        <v>303</v>
      </c>
      <c r="O199" s="10"/>
      <c r="P199" s="9" t="n">
        <f aca="false">(O197*B6)</f>
        <v>29429.327277619</v>
      </c>
      <c r="Q199" s="9" t="n">
        <f aca="false">(S126+S128)/1000</f>
        <v>114056.223887797</v>
      </c>
      <c r="R199" s="9" t="n">
        <f aca="false">(Q197+P199)</f>
        <v>143485.551165416</v>
      </c>
      <c r="S199" s="8"/>
      <c r="T199" s="9" t="n">
        <f aca="false">(S197*B6)</f>
        <v>326760463.585744</v>
      </c>
      <c r="U199" s="26" t="n">
        <f aca="false">B6</f>
        <v>2500</v>
      </c>
    </row>
    <row r="240" customFormat="false" ht="12.8" hidden="false" customHeight="false" outlineLevel="0" collapsed="false">
      <c r="N240" s="3" t="s">
        <v>304</v>
      </c>
    </row>
    <row r="241" customFormat="false" ht="12.8" hidden="false" customHeight="false" outlineLevel="0" collapsed="false">
      <c r="N241" s="3" t="s">
        <v>305</v>
      </c>
      <c r="O241" s="7" t="n">
        <f aca="false">Q186/O107</f>
        <v>0.326299220962679</v>
      </c>
    </row>
    <row r="242" customFormat="false" ht="12.8" hidden="false" customHeight="false" outlineLevel="0" collapsed="false">
      <c r="N242" s="3" t="s">
        <v>306</v>
      </c>
      <c r="O242" s="0" t="n">
        <f aca="false">O107/Q186</f>
        <v>3.06467173611295</v>
      </c>
    </row>
    <row r="243" customFormat="false" ht="12.8" hidden="false" customHeight="false" outlineLevel="0" collapsed="false">
      <c r="N243" s="0" t="s">
        <v>307</v>
      </c>
    </row>
    <row r="244" customFormat="false" ht="23.85" hidden="false" customHeight="false" outlineLevel="0" collapsed="false">
      <c r="N244" s="3" t="s">
        <v>308</v>
      </c>
      <c r="O244" s="3" t="s">
        <v>309</v>
      </c>
      <c r="P244" s="14" t="s">
        <v>219</v>
      </c>
      <c r="Q244" s="3" t="s">
        <v>310</v>
      </c>
    </row>
    <row r="245" customFormat="false" ht="12.8" hidden="false" customHeight="false" outlineLevel="0" collapsed="false">
      <c r="N245" s="3" t="n">
        <v>1</v>
      </c>
      <c r="O245" s="3" t="s">
        <v>311</v>
      </c>
      <c r="P245" s="3" t="s">
        <v>312</v>
      </c>
      <c r="Q245" s="0" t="n">
        <f aca="false">O107</f>
        <v>896343360</v>
      </c>
    </row>
    <row r="246" customFormat="false" ht="22.95" hidden="false" customHeight="true" outlineLevel="0" collapsed="false">
      <c r="N246" s="3" t="n">
        <v>2</v>
      </c>
      <c r="O246" s="3" t="s">
        <v>313</v>
      </c>
      <c r="P246" s="3" t="s">
        <v>314</v>
      </c>
      <c r="Q246" s="16" t="n">
        <f aca="false">O95</f>
        <v>922</v>
      </c>
    </row>
    <row r="247" customFormat="false" ht="67.65" hidden="false" customHeight="false" outlineLevel="0" collapsed="false">
      <c r="N247" s="14" t="s">
        <v>315</v>
      </c>
      <c r="O247" s="14" t="s">
        <v>316</v>
      </c>
      <c r="P247" s="3" t="s">
        <v>317</v>
      </c>
      <c r="Q247" s="0" t="n">
        <f aca="false">C22</f>
        <v>114</v>
      </c>
    </row>
    <row r="248" customFormat="false" ht="12.8" hidden="false" customHeight="false" outlineLevel="0" collapsed="false">
      <c r="N248" s="3" t="n">
        <v>4</v>
      </c>
      <c r="O248" s="3" t="s">
        <v>108</v>
      </c>
      <c r="P248" s="3" t="s">
        <v>312</v>
      </c>
      <c r="Q248" s="9" t="n">
        <f aca="false">W65+AI95</f>
        <v>132925138.405714</v>
      </c>
    </row>
    <row r="249" customFormat="false" ht="14.9" hidden="false" customHeight="true" outlineLevel="0" collapsed="false">
      <c r="N249" s="3" t="n">
        <v>5</v>
      </c>
      <c r="O249" s="3" t="s">
        <v>318</v>
      </c>
      <c r="P249" s="3" t="s">
        <v>312</v>
      </c>
      <c r="Q249" s="9" t="n">
        <f aca="false">P129</f>
        <v>43367.1346348948</v>
      </c>
    </row>
    <row r="250" customFormat="false" ht="11.9" hidden="false" customHeight="true" outlineLevel="0" collapsed="false">
      <c r="N250" s="19" t="n">
        <v>5</v>
      </c>
      <c r="O250" s="3" t="s">
        <v>319</v>
      </c>
      <c r="P250" s="3" t="s">
        <v>312</v>
      </c>
      <c r="Q250" s="9" t="n">
        <f aca="false">R129</f>
        <v>57394.2204661663</v>
      </c>
    </row>
    <row r="251" customFormat="false" ht="14.9" hidden="false" customHeight="true" outlineLevel="0" collapsed="false">
      <c r="N251" s="19" t="n">
        <v>6</v>
      </c>
      <c r="O251" s="3" t="s">
        <v>320</v>
      </c>
      <c r="P251" s="3" t="s">
        <v>312</v>
      </c>
      <c r="Q251" s="8" t="n">
        <f aca="false">O179</f>
        <v>84705.7895063147</v>
      </c>
    </row>
    <row r="252" customFormat="false" ht="13.9" hidden="false" customHeight="true" outlineLevel="0" collapsed="false">
      <c r="N252" s="3" t="n">
        <v>6</v>
      </c>
      <c r="O252" s="3" t="s">
        <v>319</v>
      </c>
      <c r="P252" s="3" t="s">
        <v>312</v>
      </c>
      <c r="Q252" s="8" t="n">
        <f aca="false">P179</f>
        <v>130704.185434298</v>
      </c>
    </row>
    <row r="253" customFormat="false" ht="12.8" hidden="false" customHeight="false" outlineLevel="0" collapsed="false">
      <c r="N253" s="3" t="n">
        <v>7</v>
      </c>
      <c r="O253" s="3" t="s">
        <v>321</v>
      </c>
      <c r="P253" s="3" t="s">
        <v>312</v>
      </c>
      <c r="Q253" s="9" t="n">
        <f aca="false">T196+T199</f>
        <v>750289411.117317</v>
      </c>
    </row>
    <row r="254" customFormat="false" ht="12.8" hidden="false" customHeight="false" outlineLevel="0" collapsed="false">
      <c r="N254" s="3" t="n">
        <v>9</v>
      </c>
      <c r="O254" s="3" t="s">
        <v>322</v>
      </c>
      <c r="P254" s="3" t="s">
        <v>312</v>
      </c>
      <c r="Q254" s="9" t="n">
        <f aca="false">Q253-R196-R199</f>
        <v>749929089.892977</v>
      </c>
    </row>
    <row r="255" customFormat="false" ht="12.8" hidden="false" customHeight="false" outlineLevel="0" collapsed="false">
      <c r="N255" s="3" t="n">
        <v>10</v>
      </c>
      <c r="O255" s="3" t="s">
        <v>323</v>
      </c>
      <c r="P255" s="3" t="s">
        <v>312</v>
      </c>
      <c r="Q255" s="9" t="n">
        <f aca="false">Q185</f>
        <v>389968186.777427</v>
      </c>
    </row>
    <row r="256" customFormat="false" ht="12.8" hidden="false" customHeight="false" outlineLevel="0" collapsed="false">
      <c r="N256" s="3" t="n">
        <v>11</v>
      </c>
      <c r="O256" s="3" t="s">
        <v>324</v>
      </c>
      <c r="P256" s="3" t="s">
        <v>312</v>
      </c>
      <c r="Q256" s="9" t="n">
        <f aca="false">Q255/1.2</f>
        <v>324973488.981189</v>
      </c>
    </row>
    <row r="257" customFormat="false" ht="12.8" hidden="false" customHeight="false" outlineLevel="0" collapsed="false">
      <c r="N257" s="3" t="n">
        <v>12</v>
      </c>
      <c r="O257" s="3" t="s">
        <v>325</v>
      </c>
      <c r="P257" s="3" t="s">
        <v>326</v>
      </c>
      <c r="Q257" s="7" t="n">
        <f aca="false">O241</f>
        <v>0.326299220962679</v>
      </c>
    </row>
    <row r="258" customFormat="false" ht="12.8" hidden="false" customHeight="false" outlineLevel="0" collapsed="false">
      <c r="N258" s="3" t="n">
        <v>13</v>
      </c>
      <c r="O258" s="3" t="s">
        <v>327</v>
      </c>
      <c r="P258" s="3" t="s">
        <v>328</v>
      </c>
      <c r="Q258" s="9" t="n">
        <f aca="false">O242</f>
        <v>3.06467173611296</v>
      </c>
    </row>
    <row r="263" customFormat="false" ht="12.8" hidden="false" customHeight="false" outlineLevel="0" collapsed="false">
      <c r="N263" s="3" t="s">
        <v>329</v>
      </c>
      <c r="O263" s="3"/>
      <c r="P263" s="3"/>
    </row>
    <row r="264" customFormat="false" ht="12.8" hidden="false" customHeight="false" outlineLevel="0" collapsed="false">
      <c r="N264" s="5" t="s">
        <v>330</v>
      </c>
      <c r="O264" s="5"/>
      <c r="P264" s="5"/>
      <c r="Q264" s="2"/>
    </row>
    <row r="265" customFormat="false" ht="12.8" hidden="false" customHeight="false" outlineLevel="0" collapsed="false">
      <c r="N265" s="27" t="s">
        <v>331</v>
      </c>
      <c r="O265" s="27"/>
      <c r="P265" s="27"/>
      <c r="Q265" s="2"/>
    </row>
    <row r="266" customFormat="false" ht="12.8" hidden="false" customHeight="false" outlineLevel="0" collapsed="false">
      <c r="O266" s="2"/>
      <c r="P266" s="2"/>
      <c r="Q266" s="2"/>
    </row>
    <row r="267" customFormat="false" ht="12.8" hidden="false" customHeight="false" outlineLevel="0" collapsed="false">
      <c r="N267" s="0" t="s">
        <v>332</v>
      </c>
      <c r="O267" s="2"/>
      <c r="P267" s="2"/>
      <c r="Q267" s="2"/>
    </row>
    <row r="268" customFormat="false" ht="12.8" hidden="false" customHeight="false" outlineLevel="0" collapsed="false">
      <c r="N268" s="28" t="s">
        <v>333</v>
      </c>
      <c r="O268" s="28"/>
    </row>
    <row r="269" customFormat="false" ht="12.8" hidden="false" customHeight="false" outlineLevel="0" collapsed="false">
      <c r="N269" s="28" t="s">
        <v>334</v>
      </c>
      <c r="O269" s="28"/>
      <c r="P269" s="28"/>
    </row>
    <row r="270" customFormat="false" ht="12.8" hidden="false" customHeight="false" outlineLevel="0" collapsed="false">
      <c r="N270" s="28" t="s">
        <v>335</v>
      </c>
      <c r="O270" s="28"/>
    </row>
    <row r="272" customFormat="false" ht="12.8" hidden="false" customHeight="false" outlineLevel="0" collapsed="false">
      <c r="N272" s="0" t="s">
        <v>336</v>
      </c>
    </row>
    <row r="273" customFormat="false" ht="12.8" hidden="false" customHeight="false" outlineLevel="0" collapsed="false">
      <c r="N273" s="28" t="s">
        <v>337</v>
      </c>
      <c r="O273" s="28"/>
      <c r="P273" s="28"/>
    </row>
    <row r="274" customFormat="false" ht="12.8" hidden="false" customHeight="false" outlineLevel="0" collapsed="false">
      <c r="N274" s="28" t="s">
        <v>338</v>
      </c>
      <c r="O274" s="28"/>
      <c r="P274" s="28"/>
    </row>
    <row r="276" customFormat="false" ht="12.8" hidden="false" customHeight="false" outlineLevel="0" collapsed="false">
      <c r="N276" s="0" t="s">
        <v>339</v>
      </c>
    </row>
    <row r="277" customFormat="false" ht="12.8" hidden="false" customHeight="false" outlineLevel="0" collapsed="false">
      <c r="N277" s="28" t="s">
        <v>340</v>
      </c>
      <c r="O277" s="28"/>
    </row>
    <row r="278" customFormat="false" ht="12.8" hidden="false" customHeight="false" outlineLevel="0" collapsed="false">
      <c r="N278" s="28" t="s">
        <v>341</v>
      </c>
      <c r="O278" s="28"/>
      <c r="P278" s="28"/>
    </row>
    <row r="280" customFormat="false" ht="12.8" hidden="false" customHeight="false" outlineLevel="0" collapsed="false">
      <c r="N280" s="28" t="s">
        <v>342</v>
      </c>
      <c r="O280" s="28"/>
    </row>
    <row r="281" customFormat="false" ht="12.8" hidden="false" customHeight="false" outlineLevel="0" collapsed="false">
      <c r="N281" s="28" t="s">
        <v>343</v>
      </c>
      <c r="O281" s="28"/>
    </row>
    <row r="282" customFormat="false" ht="12.8" hidden="false" customHeight="false" outlineLevel="0" collapsed="false">
      <c r="N282" s="28" t="s">
        <v>344</v>
      </c>
      <c r="O282" s="28"/>
    </row>
    <row r="284" customFormat="false" ht="12.8" hidden="false" customHeight="false" outlineLevel="0" collapsed="false">
      <c r="N284" s="28" t="s">
        <v>345</v>
      </c>
      <c r="O284" s="28"/>
      <c r="P284" s="28"/>
    </row>
    <row r="288" customFormat="false" ht="12.8" hidden="false" customHeight="false" outlineLevel="0" collapsed="false">
      <c r="N288" s="28"/>
    </row>
    <row r="300" customFormat="false" ht="12.8" hidden="false" customHeight="false" outlineLevel="0" collapsed="false">
      <c r="N300" s="26"/>
    </row>
  </sheetData>
  <mergeCells count="35">
    <mergeCell ref="R67:S67"/>
    <mergeCell ref="R68:S68"/>
    <mergeCell ref="R69:S69"/>
    <mergeCell ref="R70:S70"/>
    <mergeCell ref="AI75:AI77"/>
    <mergeCell ref="AI79:AI87"/>
    <mergeCell ref="AI89:AI94"/>
    <mergeCell ref="P119:S119"/>
    <mergeCell ref="P120:Q120"/>
    <mergeCell ref="R120:S120"/>
    <mergeCell ref="M129:M130"/>
    <mergeCell ref="N129:N130"/>
    <mergeCell ref="P129:P130"/>
    <mergeCell ref="Q129:Q130"/>
    <mergeCell ref="R129:R130"/>
    <mergeCell ref="S129:S130"/>
    <mergeCell ref="U135:U140"/>
    <mergeCell ref="U141:U146"/>
    <mergeCell ref="O194:O196"/>
    <mergeCell ref="S194:S196"/>
    <mergeCell ref="O197:O199"/>
    <mergeCell ref="S197:S199"/>
    <mergeCell ref="N264:P264"/>
    <mergeCell ref="N265:P265"/>
    <mergeCell ref="N268:O268"/>
    <mergeCell ref="N269:P269"/>
    <mergeCell ref="N270:O270"/>
    <mergeCell ref="N273:P273"/>
    <mergeCell ref="N274:P274"/>
    <mergeCell ref="N277:O277"/>
    <mergeCell ref="N278:P278"/>
    <mergeCell ref="N280:O280"/>
    <mergeCell ref="N281:O281"/>
    <mergeCell ref="N282:O282"/>
    <mergeCell ref="N284:P284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863</TotalTime>
  <Application>LibreOffice/25.8.2.2$Linux_X86_64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2025-09-14T10:36:56Z</dcterms:created>
  <dc:creator/>
  <dc:description/>
  <dc:language>ru-RU</dc:language>
  <cp:lastModifiedBy/>
  <cp:lastPrinted>2025-11-25T10:07:58Z</cp:lastPrinted>
  <dcterms:modified xsi:type="dcterms:W3CDTF">2025-12-09T18:51:24Z</dcterms:modified>
  <cp:revision>86</cp:revision>
  <dc:subject/>
  <dc:title/>
</cp:coreProperties>
</file>